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<sst xmlns="http://schemas.openxmlformats.org/spreadsheetml/2006/main" count="503" uniqueCount="256">
  <si>
    <t>ИСПОЛНЕНИЕ КАССОВОГО ПЛАНА В ЧАСТИ ДОХОДОВ</t>
  </si>
  <si>
    <t/>
  </si>
  <si>
    <t>Коды</t>
  </si>
  <si>
    <t>на</t>
  </si>
  <si>
    <t>28.02.2022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</si>
  <si>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</si>
  <si>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</si>
  <si>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</si>
  <si>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</si>
  <si>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</si>
  <si>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</si>
  <si>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</si>
  <si>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</si>
  <si>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</si>
  <si>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</si>
  <si>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</si>
  <si>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</si>
  <si>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по=28.02.2022;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</si>
  <si>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</si>
  <si>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</si>
  <si>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</si>
  <si>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</si>
  <si>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</si>
  <si>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</si>
  <si>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</si>
  <si>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</si>
  <si>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</si>
  <si>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</si>
  <si>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</si>
  <si>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</si>
  <si>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</si>
  <si>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</si>
  <si>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</si>
  <si>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</si>
  <si>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</si>
  <si>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</si>
  <si>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</si>
  <si>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</si>
  <si>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</si>
  <si>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37,48</t>
  </si>
  <si>
    <t>9,39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</si>
  <si>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</si>
  <si>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</si>
  <si>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</si>
  <si>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</si>
  <si>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</si>
  <si>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</si>
  <si>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</si>
  <si>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</si>
  <si>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39,74</t>
  </si>
  <si>
    <t>9,56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</si>
  <si>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</si>
  <si>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</si>
  <si>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</si>
  <si>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</si>
  <si>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49,26</t>
  </si>
  <si>
    <t>11,61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</si>
  <si>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</si>
  <si>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</si>
  <si>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</si>
  <si>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</si>
  <si>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36,25</t>
  </si>
  <si>
    <t>8,98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</si>
  <si>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</si>
  <si>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</si>
  <si>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</si>
  <si>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</si>
  <si>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44,73</t>
  </si>
  <si>
    <t>6,90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</si>
  <si>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</si>
  <si>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</si>
  <si>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</si>
  <si>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</si>
  <si>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59,62</t>
  </si>
  <si>
    <t>16,55</t>
  </si>
  <si>
    <t>182 10000000 00 0000 000</t>
  </si>
  <si>
    <t>182 10100000 00 0000 000</t>
  </si>
  <si>
    <t>НАЛОГИ НА ПРИБЫЛЬ, ДОХОДЫ</t>
  </si>
  <si>
    <t>63,31</t>
  </si>
  <si>
    <t>17,86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</si>
  <si>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</si>
  <si>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</si>
  <si>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</si>
  <si>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</si>
  <si>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</si>
  <si>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</si>
  <si>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</si>
  <si>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</si>
  <si>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</si>
  <si>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</si>
  <si>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</si>
  <si>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</si>
  <si>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</si>
  <si>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</si>
  <si>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</si>
  <si>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</si>
  <si>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</si>
  <si>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</si>
  <si>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</si>
  <si>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</si>
  <si>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182 10503010 01 2100 110</t>
  </si>
  <si>
    <t>182 10600000 00 0000 000</t>
  </si>
  <si>
    <t>НАЛОГИ НА ИМУЩЕСТВО</t>
  </si>
  <si>
    <t>28,65</t>
  </si>
  <si>
    <t>7,03</t>
  </si>
  <si>
    <t>182 10601000 00 0000 110</t>
  </si>
  <si>
    <t>Налог на имущество физических лиц</t>
  </si>
  <si>
    <t>107,90</t>
  </si>
  <si>
    <t>21,95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</si>
  <si>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</si>
  <si>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</si>
  <si>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</si>
  <si>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</si>
  <si>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</si>
  <si>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</si>
  <si>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</si>
  <si>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</si>
  <si>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39,07</t>
  </si>
  <si>
    <t>8,21</t>
  </si>
  <si>
    <t>182 10604011 02 0000 110</t>
  </si>
  <si>
    <t>Транспортный налог с организаций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</si>
  <si>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</si>
  <si>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</si>
  <si>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</si>
  <si>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</si>
  <si>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</si>
  <si>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</si>
  <si>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</si>
  <si>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</si>
  <si>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10,22</t>
  </si>
  <si>
    <t>2,68</t>
  </si>
  <si>
    <t>182 10606030 00 0000 110</t>
  </si>
  <si>
    <t>Земельный налог с организаций</t>
  </si>
  <si>
    <t>8,08</t>
  </si>
  <si>
    <t>2,36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</si>
  <si>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</si>
  <si>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</si>
  <si>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</si>
  <si>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</si>
  <si>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</si>
  <si>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182 10606033 10 4000 110</t>
  </si>
  <si>
    <t>182 10606040 00 0000 110</t>
  </si>
  <si>
    <t>Земельный налог с физических лиц</t>
  </si>
  <si>
    <t>125,37</t>
  </si>
  <si>
    <t>5,01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</si>
  <si>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</si>
  <si>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</si>
  <si>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</si>
  <si>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</si>
  <si>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</si>
  <si>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</si>
  <si>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650 00000000 00 0000 000</t>
  </si>
  <si>
    <t>85,34</t>
  </si>
  <si>
    <t>19,76</t>
  </si>
  <si>
    <t>650 10000000 00 0000 000</t>
  </si>
  <si>
    <t>72,85</t>
  </si>
  <si>
    <t>15,29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</si>
  <si>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</si>
  <si>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</si>
  <si>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41,29</t>
  </si>
  <si>
    <t>10,40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</si>
  <si>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</si>
  <si>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</si>
  <si>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232,63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</si>
  <si>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</si>
  <si>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</si>
  <si>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</si>
  <si>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</si>
  <si>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</si>
  <si>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</si>
  <si>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</si>
  <si>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41,18</t>
  </si>
  <si>
    <t>10,37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</si>
  <si>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</si>
  <si>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</si>
  <si>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</si>
  <si>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</si>
  <si>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</si>
  <si>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</si>
  <si>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</si>
  <si>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</si>
  <si>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</si>
  <si>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</si>
  <si>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</si>
  <si>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</si>
  <si>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</si>
  <si>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</si>
  <si>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147,91</t>
  </si>
  <si>
    <t>21,91</t>
  </si>
  <si>
    <t>650 11401000 00 0000 410</t>
  </si>
  <si>
    <t>Доходы от продажи квартир</t>
  </si>
  <si>
    <t>151,50</t>
  </si>
  <si>
    <t>21,10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</si>
  <si>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</si>
  <si>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</si>
  <si>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</si>
  <si>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</si>
  <si>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100,00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</si>
  <si>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</si>
  <si>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</si>
  <si>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</si>
  <si>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</si>
  <si>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</si>
  <si>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</si>
  <si>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86,76</t>
  </si>
  <si>
    <t>20,33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</si>
  <si>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</si>
  <si>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</si>
  <si>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</si>
  <si>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</si>
  <si>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</si>
  <si>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</si>
  <si>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</si>
  <si>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</si>
  <si>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</si>
  <si>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</si>
  <si>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</si>
  <si>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</si>
  <si>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</si>
  <si>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</si>
  <si>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</si>
  <si>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</si>
  <si>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</si>
  <si>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60,31</t>
  </si>
  <si>
    <t>12,70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</si>
  <si>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</si>
  <si>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</si>
  <si>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</si>
  <si>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</si>
  <si>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</si>
  <si>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</si>
  <si>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59,63</t>
  </si>
  <si>
    <t>14,14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</si>
  <si>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</si>
  <si>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</si>
  <si>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</si>
  <si>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</si>
  <si>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63,07</t>
  </si>
  <si>
    <t>11,68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</si>
  <si>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</si>
  <si>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</si>
  <si>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</si>
  <si>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</si>
  <si>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27,95</t>
  </si>
  <si>
    <t>5,30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</si>
  <si>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</si>
  <si>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</si>
  <si>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</si>
  <si>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</si>
  <si>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</si>
  <si>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</si>
  <si>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20,13</t>
  </si>
  <si>
    <t>3,72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</si>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</sst>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zoomScalePageLayoutView="0" workbookViewId="0" topLeftCell="A103">
      <selection activeCell="A109" sqref="A109:IV11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44620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1475144.12</f>
        <v>1475144.12</v>
      </c>
      <c r="J15" s="24"/>
      <c r="K15" s="25">
        <f>5888000</f>
        <v>5888000</v>
      </c>
      <c r="L15" s="25"/>
      <c r="M15" s="12">
        <f>552858.78</f>
        <v>552858.78</v>
      </c>
      <c r="N15" s="13" t="s">
        <v>39</v>
      </c>
      <c r="O15" s="14" t="s">
        <v>40</v>
      </c>
      <c r="P15" s="24">
        <f>922285.34</f>
        <v>922285.34</v>
      </c>
      <c r="Q15" s="24"/>
      <c r="R15" s="26">
        <f>5335141.22</f>
        <v>5335141.22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1475144.12</f>
        <v>1475144.12</v>
      </c>
      <c r="J16" s="24"/>
      <c r="K16" s="25">
        <f>5888000</f>
        <v>5888000</v>
      </c>
      <c r="L16" s="25"/>
      <c r="M16" s="12">
        <f>552858.78</f>
        <v>552858.78</v>
      </c>
      <c r="N16" s="13" t="s">
        <v>39</v>
      </c>
      <c r="O16" s="14" t="s">
        <v>40</v>
      </c>
      <c r="P16" s="24">
        <f>922285.34</f>
        <v>922285.34</v>
      </c>
      <c r="Q16" s="24"/>
      <c r="R16" s="26">
        <f>5335141.22</f>
        <v>5335141.22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1475144.12</f>
        <v>1475144.12</v>
      </c>
      <c r="J17" s="24"/>
      <c r="K17" s="25">
        <f>5888000</f>
        <v>5888000</v>
      </c>
      <c r="L17" s="25"/>
      <c r="M17" s="12">
        <f>552858.78</f>
        <v>552858.78</v>
      </c>
      <c r="N17" s="13" t="s">
        <v>39</v>
      </c>
      <c r="O17" s="14" t="s">
        <v>40</v>
      </c>
      <c r="P17" s="24">
        <f>922285.34</f>
        <v>922285.34</v>
      </c>
      <c r="Q17" s="24"/>
      <c r="R17" s="26">
        <f>5335141.22</f>
        <v>5335141.22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1475144.12</f>
        <v>1475144.12</v>
      </c>
      <c r="J18" s="24"/>
      <c r="K18" s="25">
        <f>5888000</f>
        <v>5888000</v>
      </c>
      <c r="L18" s="25"/>
      <c r="M18" s="12">
        <f>552858.78</f>
        <v>552858.78</v>
      </c>
      <c r="N18" s="13" t="s">
        <v>39</v>
      </c>
      <c r="O18" s="14" t="s">
        <v>40</v>
      </c>
      <c r="P18" s="24">
        <f>922285.34</f>
        <v>922285.34</v>
      </c>
      <c r="Q18" s="24"/>
      <c r="R18" s="26">
        <f>5335141.22</f>
        <v>5335141.22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651000</f>
        <v>651000</v>
      </c>
      <c r="J19" s="24"/>
      <c r="K19" s="25">
        <f>2706830</f>
        <v>2706830</v>
      </c>
      <c r="L19" s="25"/>
      <c r="M19" s="12">
        <f>258702.63</f>
        <v>258702.63</v>
      </c>
      <c r="N19" s="13" t="s">
        <v>49</v>
      </c>
      <c r="O19" s="14" t="s">
        <v>50</v>
      </c>
      <c r="P19" s="24">
        <f>392297.37</f>
        <v>392297.37</v>
      </c>
      <c r="Q19" s="24"/>
      <c r="R19" s="26">
        <f>2448127.37</f>
        <v>2448127.37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651000</f>
        <v>651000</v>
      </c>
      <c r="J20" s="24"/>
      <c r="K20" s="25">
        <f>2706830</f>
        <v>2706830</v>
      </c>
      <c r="L20" s="25"/>
      <c r="M20" s="12">
        <f>258702.63</f>
        <v>258702.63</v>
      </c>
      <c r="N20" s="13" t="s">
        <v>49</v>
      </c>
      <c r="O20" s="14" t="s">
        <v>50</v>
      </c>
      <c r="P20" s="24">
        <f>392297.37</f>
        <v>392297.37</v>
      </c>
      <c r="Q20" s="24"/>
      <c r="R20" s="26">
        <f>2448127.37</f>
        <v>2448127.37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3600</f>
        <v>3600</v>
      </c>
      <c r="J21" s="24"/>
      <c r="K21" s="25">
        <f>15270</f>
        <v>15270</v>
      </c>
      <c r="L21" s="25"/>
      <c r="M21" s="12">
        <f>1773.52</f>
        <v>1773.52</v>
      </c>
      <c r="N21" s="13" t="s">
        <v>55</v>
      </c>
      <c r="O21" s="14" t="s">
        <v>56</v>
      </c>
      <c r="P21" s="24">
        <f>1826.48</f>
        <v>1826.48</v>
      </c>
      <c r="Q21" s="24"/>
      <c r="R21" s="26">
        <f>13496.48</f>
        <v>13496.48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3600</f>
        <v>3600</v>
      </c>
      <c r="J22" s="24"/>
      <c r="K22" s="25">
        <f>15270</f>
        <v>15270</v>
      </c>
      <c r="L22" s="25"/>
      <c r="M22" s="12">
        <f>1773.52</f>
        <v>1773.52</v>
      </c>
      <c r="N22" s="13" t="s">
        <v>55</v>
      </c>
      <c r="O22" s="14" t="s">
        <v>56</v>
      </c>
      <c r="P22" s="24">
        <f>1826.48</f>
        <v>1826.48</v>
      </c>
      <c r="Q22" s="24"/>
      <c r="R22" s="26">
        <f>13496.48</f>
        <v>13496.48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880000</f>
        <v>880000</v>
      </c>
      <c r="J23" s="24"/>
      <c r="K23" s="25">
        <f>3551490</f>
        <v>3551490</v>
      </c>
      <c r="L23" s="25"/>
      <c r="M23" s="12">
        <f>318974.41</f>
        <v>318974.41</v>
      </c>
      <c r="N23" s="13" t="s">
        <v>61</v>
      </c>
      <c r="O23" s="14" t="s">
        <v>62</v>
      </c>
      <c r="P23" s="24">
        <f>561025.59</f>
        <v>561025.59</v>
      </c>
      <c r="Q23" s="24"/>
      <c r="R23" s="26">
        <f>3232515.59</f>
        <v>3232515.59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880000</f>
        <v>880000</v>
      </c>
      <c r="J24" s="24"/>
      <c r="K24" s="25">
        <f>3551490</f>
        <v>3551490</v>
      </c>
      <c r="L24" s="25"/>
      <c r="M24" s="12">
        <f>318974.41</f>
        <v>318974.41</v>
      </c>
      <c r="N24" s="13" t="s">
        <v>61</v>
      </c>
      <c r="O24" s="14" t="s">
        <v>62</v>
      </c>
      <c r="P24" s="24">
        <f>561025.59</f>
        <v>561025.59</v>
      </c>
      <c r="Q24" s="24"/>
      <c r="R24" s="26">
        <f>3232515.59</f>
        <v>3232515.59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-59455.88</f>
        <v>-59455.88</v>
      </c>
      <c r="J25" s="24"/>
      <c r="K25" s="25">
        <f>-385590</f>
        <v>-385590</v>
      </c>
      <c r="L25" s="25"/>
      <c r="M25" s="12">
        <f>-26591.78</f>
        <v>-26591.78</v>
      </c>
      <c r="N25" s="13" t="s">
        <v>67</v>
      </c>
      <c r="O25" s="14" t="s">
        <v>68</v>
      </c>
      <c r="P25" s="24">
        <f>-32864.1</f>
        <v>-32864.1</v>
      </c>
      <c r="Q25" s="24"/>
      <c r="R25" s="26">
        <f>-358998.22</f>
        <v>-358998.22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-59455.88</f>
        <v>-59455.88</v>
      </c>
      <c r="J26" s="24"/>
      <c r="K26" s="25">
        <f>-385590</f>
        <v>-385590</v>
      </c>
      <c r="L26" s="25"/>
      <c r="M26" s="12">
        <f>-26591.78</f>
        <v>-26591.78</v>
      </c>
      <c r="N26" s="13" t="s">
        <v>67</v>
      </c>
      <c r="O26" s="14" t="s">
        <v>68</v>
      </c>
      <c r="P26" s="24">
        <f>-32864.1</f>
        <v>-32864.1</v>
      </c>
      <c r="Q26" s="24"/>
      <c r="R26" s="26">
        <f>-358998.22</f>
        <v>-358998.22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6849999.96</f>
        <v>6849999.96</v>
      </c>
      <c r="J27" s="24"/>
      <c r="K27" s="25">
        <f>24675629.92</f>
        <v>24675629.92</v>
      </c>
      <c r="L27" s="25"/>
      <c r="M27" s="12">
        <f>4083993.22</f>
        <v>4083993.22</v>
      </c>
      <c r="N27" s="13" t="s">
        <v>73</v>
      </c>
      <c r="O27" s="14" t="s">
        <v>74</v>
      </c>
      <c r="P27" s="24">
        <f>2766006.74</f>
        <v>2766006.74</v>
      </c>
      <c r="Q27" s="24"/>
      <c r="R27" s="26">
        <f>20591636.7</f>
        <v>20591636.7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6849999.96</f>
        <v>6849999.96</v>
      </c>
      <c r="J28" s="24"/>
      <c r="K28" s="25">
        <f>24675629.92</f>
        <v>24675629.92</v>
      </c>
      <c r="L28" s="25"/>
      <c r="M28" s="12">
        <f>4083993.22</f>
        <v>4083993.22</v>
      </c>
      <c r="N28" s="13" t="s">
        <v>73</v>
      </c>
      <c r="O28" s="14" t="s">
        <v>74</v>
      </c>
      <c r="P28" s="24">
        <f>2766006.74</f>
        <v>2766006.74</v>
      </c>
      <c r="Q28" s="24"/>
      <c r="R28" s="26">
        <f>20591636.7</f>
        <v>20591636.7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6120000</f>
        <v>6120000</v>
      </c>
      <c r="J29" s="24"/>
      <c r="K29" s="25">
        <f>21699999.96</f>
        <v>21699999.96</v>
      </c>
      <c r="L29" s="25"/>
      <c r="M29" s="12">
        <f>3874825.68</f>
        <v>3874825.68</v>
      </c>
      <c r="N29" s="13" t="s">
        <v>78</v>
      </c>
      <c r="O29" s="14" t="s">
        <v>79</v>
      </c>
      <c r="P29" s="24">
        <f>2245174.32</f>
        <v>2245174.32</v>
      </c>
      <c r="Q29" s="24"/>
      <c r="R29" s="26">
        <f>17825174.28</f>
        <v>17825174.28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6120000</f>
        <v>6120000</v>
      </c>
      <c r="J30" s="24"/>
      <c r="K30" s="25">
        <f>21699999.96</f>
        <v>21699999.96</v>
      </c>
      <c r="L30" s="25"/>
      <c r="M30" s="12">
        <f>3874825.68</f>
        <v>3874825.68</v>
      </c>
      <c r="N30" s="13" t="s">
        <v>78</v>
      </c>
      <c r="O30" s="14" t="s">
        <v>79</v>
      </c>
      <c r="P30" s="24">
        <f>2245174.32</f>
        <v>2245174.32</v>
      </c>
      <c r="Q30" s="24"/>
      <c r="R30" s="26">
        <f>17825174.28</f>
        <v>17825174.28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6120000</f>
        <v>6120000</v>
      </c>
      <c r="J31" s="24"/>
      <c r="K31" s="25">
        <f>21699999.96</f>
        <v>21699999.96</v>
      </c>
      <c r="L31" s="25"/>
      <c r="M31" s="13" t="s">
        <v>1</v>
      </c>
      <c r="N31" s="13" t="s">
        <v>84</v>
      </c>
      <c r="O31" s="14" t="s">
        <v>84</v>
      </c>
      <c r="P31" s="24">
        <f>6120000</f>
        <v>6120000</v>
      </c>
      <c r="Q31" s="24"/>
      <c r="R31" s="26">
        <f>21699999.96</f>
        <v>21699999.96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3898929.9</f>
        <v>3898929.9</v>
      </c>
      <c r="N32" s="13" t="s">
        <v>84</v>
      </c>
      <c r="O32" s="14" t="s">
        <v>84</v>
      </c>
      <c r="P32" s="24">
        <f>-3898929.9</f>
        <v>-3898929.9</v>
      </c>
      <c r="Q32" s="24"/>
      <c r="R32" s="26">
        <f>-3898929.9</f>
        <v>-3898929.9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608.42</f>
        <v>608.42</v>
      </c>
      <c r="N33" s="13" t="s">
        <v>84</v>
      </c>
      <c r="O33" s="14" t="s">
        <v>84</v>
      </c>
      <c r="P33" s="24">
        <f>-608.42</f>
        <v>-608.42</v>
      </c>
      <c r="Q33" s="24"/>
      <c r="R33" s="26">
        <f>-608.42</f>
        <v>-608.42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4540.68</f>
        <v>4540.68</v>
      </c>
      <c r="N34" s="13" t="s">
        <v>84</v>
      </c>
      <c r="O34" s="14" t="s">
        <v>84</v>
      </c>
      <c r="P34" s="24">
        <f>-4540.68</f>
        <v>-4540.68</v>
      </c>
      <c r="Q34" s="24"/>
      <c r="R34" s="26">
        <f>-4540.68</f>
        <v>-4540.68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-34127.5</f>
        <v>-34127.5</v>
      </c>
      <c r="N35" s="13" t="s">
        <v>84</v>
      </c>
      <c r="O35" s="14" t="s">
        <v>84</v>
      </c>
      <c r="P35" s="24">
        <f>34127.5</f>
        <v>34127.5</v>
      </c>
      <c r="Q35" s="24"/>
      <c r="R35" s="26">
        <f>34127.5</f>
        <v>34127.5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1690</f>
        <v>1690</v>
      </c>
      <c r="N36" s="13" t="s">
        <v>84</v>
      </c>
      <c r="O36" s="14" t="s">
        <v>84</v>
      </c>
      <c r="P36" s="24">
        <f>-1690</f>
        <v>-1690</v>
      </c>
      <c r="Q36" s="24"/>
      <c r="R36" s="26">
        <f>-1690</f>
        <v>-1690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71.56</f>
        <v>71.56</v>
      </c>
      <c r="N37" s="13" t="s">
        <v>84</v>
      </c>
      <c r="O37" s="14" t="s">
        <v>84</v>
      </c>
      <c r="P37" s="24">
        <f>-71.56</f>
        <v>-71.56</v>
      </c>
      <c r="Q37" s="24"/>
      <c r="R37" s="26">
        <f>-71.56</f>
        <v>-71.56</v>
      </c>
      <c r="S37" s="26"/>
    </row>
    <row r="38" spans="1:19" s="1" customFormat="1" ht="45" customHeight="1">
      <c r="A38" s="22" t="s">
        <v>92</v>
      </c>
      <c r="B38" s="22"/>
      <c r="C38" s="22"/>
      <c r="D38" s="22"/>
      <c r="E38" s="22"/>
      <c r="F38" s="23" t="s">
        <v>93</v>
      </c>
      <c r="G38" s="23"/>
      <c r="H38" s="23"/>
      <c r="I38" s="27" t="s">
        <v>1</v>
      </c>
      <c r="J38" s="27"/>
      <c r="K38" s="29" t="s">
        <v>1</v>
      </c>
      <c r="L38" s="29"/>
      <c r="M38" s="12">
        <f>2535.7</f>
        <v>2535.7</v>
      </c>
      <c r="N38" s="13" t="s">
        <v>84</v>
      </c>
      <c r="O38" s="14" t="s">
        <v>84</v>
      </c>
      <c r="P38" s="24">
        <f>-2535.7</f>
        <v>-2535.7</v>
      </c>
      <c r="Q38" s="24"/>
      <c r="R38" s="26">
        <f>-2535.7</f>
        <v>-2535.7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93</v>
      </c>
      <c r="G39" s="23"/>
      <c r="H39" s="23"/>
      <c r="I39" s="27" t="s">
        <v>1</v>
      </c>
      <c r="J39" s="27"/>
      <c r="K39" s="29" t="s">
        <v>1</v>
      </c>
      <c r="L39" s="29"/>
      <c r="M39" s="12">
        <f>516.32</f>
        <v>516.32</v>
      </c>
      <c r="N39" s="13" t="s">
        <v>84</v>
      </c>
      <c r="O39" s="14" t="s">
        <v>84</v>
      </c>
      <c r="P39" s="24">
        <f>-516.32</f>
        <v>-516.32</v>
      </c>
      <c r="Q39" s="24"/>
      <c r="R39" s="26">
        <f>-516.32</f>
        <v>-516.32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93</v>
      </c>
      <c r="G40" s="23"/>
      <c r="H40" s="23"/>
      <c r="I40" s="27" t="s">
        <v>1</v>
      </c>
      <c r="J40" s="27"/>
      <c r="K40" s="29" t="s">
        <v>1</v>
      </c>
      <c r="L40" s="29"/>
      <c r="M40" s="12">
        <f>60.6</f>
        <v>60.6</v>
      </c>
      <c r="N40" s="13" t="s">
        <v>84</v>
      </c>
      <c r="O40" s="14" t="s">
        <v>84</v>
      </c>
      <c r="P40" s="24">
        <f>-60.6</f>
        <v>-60.6</v>
      </c>
      <c r="Q40" s="24"/>
      <c r="R40" s="26">
        <f>-60.6</f>
        <v>-60.6</v>
      </c>
      <c r="S40" s="26"/>
    </row>
    <row r="41" spans="1:19" s="1" customFormat="1" ht="13.5" customHeight="1">
      <c r="A41" s="22" t="s">
        <v>96</v>
      </c>
      <c r="B41" s="22"/>
      <c r="C41" s="22"/>
      <c r="D41" s="22"/>
      <c r="E41" s="22"/>
      <c r="F41" s="23" t="s">
        <v>97</v>
      </c>
      <c r="G41" s="23"/>
      <c r="H41" s="23"/>
      <c r="I41" s="27" t="s">
        <v>1</v>
      </c>
      <c r="J41" s="27"/>
      <c r="K41" s="29" t="s">
        <v>1</v>
      </c>
      <c r="L41" s="29"/>
      <c r="M41" s="12">
        <f>57.79</f>
        <v>57.79</v>
      </c>
      <c r="N41" s="13" t="s">
        <v>84</v>
      </c>
      <c r="O41" s="14" t="s">
        <v>84</v>
      </c>
      <c r="P41" s="24">
        <f>-57.79</f>
        <v>-57.79</v>
      </c>
      <c r="Q41" s="24"/>
      <c r="R41" s="26">
        <f>-57.79</f>
        <v>-57.79</v>
      </c>
      <c r="S41" s="26"/>
    </row>
    <row r="42" spans="1:19" s="1" customFormat="1" ht="13.5" customHeight="1">
      <c r="A42" s="22" t="s">
        <v>98</v>
      </c>
      <c r="B42" s="22"/>
      <c r="C42" s="22"/>
      <c r="D42" s="22"/>
      <c r="E42" s="22"/>
      <c r="F42" s="23" t="s">
        <v>99</v>
      </c>
      <c r="G42" s="23"/>
      <c r="H42" s="23"/>
      <c r="I42" s="27" t="s">
        <v>1</v>
      </c>
      <c r="J42" s="27"/>
      <c r="K42" s="29" t="s">
        <v>1</v>
      </c>
      <c r="L42" s="29"/>
      <c r="M42" s="12">
        <f>57.79</f>
        <v>57.79</v>
      </c>
      <c r="N42" s="13" t="s">
        <v>84</v>
      </c>
      <c r="O42" s="14" t="s">
        <v>84</v>
      </c>
      <c r="P42" s="24">
        <f>-57.79</f>
        <v>-57.79</v>
      </c>
      <c r="Q42" s="24"/>
      <c r="R42" s="26">
        <f>-57.79</f>
        <v>-57.79</v>
      </c>
      <c r="S42" s="26"/>
    </row>
    <row r="43" spans="1:19" s="1" customFormat="1" ht="13.5" customHeight="1">
      <c r="A43" s="22" t="s">
        <v>100</v>
      </c>
      <c r="B43" s="22"/>
      <c r="C43" s="22"/>
      <c r="D43" s="22"/>
      <c r="E43" s="22"/>
      <c r="F43" s="23" t="s">
        <v>99</v>
      </c>
      <c r="G43" s="23"/>
      <c r="H43" s="23"/>
      <c r="I43" s="27" t="s">
        <v>1</v>
      </c>
      <c r="J43" s="27"/>
      <c r="K43" s="29" t="s">
        <v>1</v>
      </c>
      <c r="L43" s="29"/>
      <c r="M43" s="12">
        <f>57.79</f>
        <v>57.79</v>
      </c>
      <c r="N43" s="13" t="s">
        <v>84</v>
      </c>
      <c r="O43" s="14" t="s">
        <v>84</v>
      </c>
      <c r="P43" s="24">
        <f>-57.79</f>
        <v>-57.79</v>
      </c>
      <c r="Q43" s="24"/>
      <c r="R43" s="26">
        <f>-57.79</f>
        <v>-57.79</v>
      </c>
      <c r="S43" s="26"/>
    </row>
    <row r="44" spans="1:19" s="1" customFormat="1" ht="13.5" customHeight="1">
      <c r="A44" s="22" t="s">
        <v>101</v>
      </c>
      <c r="B44" s="22"/>
      <c r="C44" s="22"/>
      <c r="D44" s="22"/>
      <c r="E44" s="22"/>
      <c r="F44" s="23" t="s">
        <v>102</v>
      </c>
      <c r="G44" s="23"/>
      <c r="H44" s="23"/>
      <c r="I44" s="24">
        <f>729999.96</f>
        <v>729999.96</v>
      </c>
      <c r="J44" s="24"/>
      <c r="K44" s="25">
        <f>2975629.96</f>
        <v>2975629.96</v>
      </c>
      <c r="L44" s="25"/>
      <c r="M44" s="12">
        <f>209109.75</f>
        <v>209109.75</v>
      </c>
      <c r="N44" s="13" t="s">
        <v>103</v>
      </c>
      <c r="O44" s="14" t="s">
        <v>104</v>
      </c>
      <c r="P44" s="24">
        <f>520890.21</f>
        <v>520890.21</v>
      </c>
      <c r="Q44" s="24"/>
      <c r="R44" s="26">
        <f>2766520.21</f>
        <v>2766520.21</v>
      </c>
      <c r="S44" s="26"/>
    </row>
    <row r="45" spans="1:19" s="1" customFormat="1" ht="13.5" customHeight="1">
      <c r="A45" s="22" t="s">
        <v>105</v>
      </c>
      <c r="B45" s="22"/>
      <c r="C45" s="22"/>
      <c r="D45" s="22"/>
      <c r="E45" s="22"/>
      <c r="F45" s="23" t="s">
        <v>106</v>
      </c>
      <c r="G45" s="23"/>
      <c r="H45" s="23"/>
      <c r="I45" s="24">
        <f>119999.96</f>
        <v>119999.96</v>
      </c>
      <c r="J45" s="24"/>
      <c r="K45" s="25">
        <f>589999.96</f>
        <v>589999.96</v>
      </c>
      <c r="L45" s="25"/>
      <c r="M45" s="12">
        <f>129485.63</f>
        <v>129485.63</v>
      </c>
      <c r="N45" s="13" t="s">
        <v>107</v>
      </c>
      <c r="O45" s="14" t="s">
        <v>108</v>
      </c>
      <c r="P45" s="24">
        <f>-9485.67</f>
        <v>-9485.67</v>
      </c>
      <c r="Q45" s="24"/>
      <c r="R45" s="26">
        <f>460514.33</f>
        <v>460514.33</v>
      </c>
      <c r="S45" s="26"/>
    </row>
    <row r="46" spans="1:19" s="1" customFormat="1" ht="45" customHeight="1">
      <c r="A46" s="22" t="s">
        <v>109</v>
      </c>
      <c r="B46" s="22"/>
      <c r="C46" s="22"/>
      <c r="D46" s="22"/>
      <c r="E46" s="22"/>
      <c r="F46" s="23" t="s">
        <v>110</v>
      </c>
      <c r="G46" s="23"/>
      <c r="H46" s="23"/>
      <c r="I46" s="24">
        <f>119999.96</f>
        <v>119999.96</v>
      </c>
      <c r="J46" s="24"/>
      <c r="K46" s="25">
        <f>589999.96</f>
        <v>589999.96</v>
      </c>
      <c r="L46" s="25"/>
      <c r="M46" s="13" t="s">
        <v>1</v>
      </c>
      <c r="N46" s="13" t="s">
        <v>84</v>
      </c>
      <c r="O46" s="14" t="s">
        <v>84</v>
      </c>
      <c r="P46" s="24">
        <f>119999.96</f>
        <v>119999.96</v>
      </c>
      <c r="Q46" s="24"/>
      <c r="R46" s="26">
        <f>589999.96</f>
        <v>589999.96</v>
      </c>
      <c r="S46" s="26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7" t="s">
        <v>1</v>
      </c>
      <c r="J47" s="27"/>
      <c r="K47" s="29" t="s">
        <v>1</v>
      </c>
      <c r="L47" s="29"/>
      <c r="M47" s="12">
        <f>126864.7</f>
        <v>126864.7</v>
      </c>
      <c r="N47" s="13" t="s">
        <v>84</v>
      </c>
      <c r="O47" s="14" t="s">
        <v>84</v>
      </c>
      <c r="P47" s="24">
        <f>-126864.7</f>
        <v>-126864.7</v>
      </c>
      <c r="Q47" s="24"/>
      <c r="R47" s="26">
        <f>-126864.7</f>
        <v>-126864.7</v>
      </c>
      <c r="S47" s="26"/>
    </row>
    <row r="48" spans="1:19" s="1" customFormat="1" ht="45" customHeight="1">
      <c r="A48" s="22" t="s">
        <v>113</v>
      </c>
      <c r="B48" s="22"/>
      <c r="C48" s="22"/>
      <c r="D48" s="22"/>
      <c r="E48" s="22"/>
      <c r="F48" s="23" t="s">
        <v>112</v>
      </c>
      <c r="G48" s="23"/>
      <c r="H48" s="23"/>
      <c r="I48" s="27" t="s">
        <v>1</v>
      </c>
      <c r="J48" s="27"/>
      <c r="K48" s="29" t="s">
        <v>1</v>
      </c>
      <c r="L48" s="29"/>
      <c r="M48" s="12">
        <f>2620.94</f>
        <v>2620.94</v>
      </c>
      <c r="N48" s="13" t="s">
        <v>84</v>
      </c>
      <c r="O48" s="14" t="s">
        <v>84</v>
      </c>
      <c r="P48" s="24">
        <f>-2620.94</f>
        <v>-2620.94</v>
      </c>
      <c r="Q48" s="24"/>
      <c r="R48" s="26">
        <f>-2620.94</f>
        <v>-2620.94</v>
      </c>
      <c r="S48" s="26"/>
    </row>
    <row r="49" spans="1:19" s="1" customFormat="1" ht="45" customHeight="1">
      <c r="A49" s="22" t="s">
        <v>114</v>
      </c>
      <c r="B49" s="22"/>
      <c r="C49" s="22"/>
      <c r="D49" s="22"/>
      <c r="E49" s="22"/>
      <c r="F49" s="23" t="s">
        <v>112</v>
      </c>
      <c r="G49" s="23"/>
      <c r="H49" s="23"/>
      <c r="I49" s="27" t="s">
        <v>1</v>
      </c>
      <c r="J49" s="27"/>
      <c r="K49" s="29" t="s">
        <v>1</v>
      </c>
      <c r="L49" s="29"/>
      <c r="M49" s="12">
        <f>-0.01</f>
        <v>-0.01</v>
      </c>
      <c r="N49" s="13" t="s">
        <v>84</v>
      </c>
      <c r="O49" s="14" t="s">
        <v>84</v>
      </c>
      <c r="P49" s="24">
        <f>0.01</f>
        <v>0.01</v>
      </c>
      <c r="Q49" s="24"/>
      <c r="R49" s="26">
        <f>0.01</f>
        <v>0.01</v>
      </c>
      <c r="S49" s="26"/>
    </row>
    <row r="50" spans="1:19" s="1" customFormat="1" ht="13.5" customHeight="1">
      <c r="A50" s="22" t="s">
        <v>115</v>
      </c>
      <c r="B50" s="22"/>
      <c r="C50" s="22"/>
      <c r="D50" s="22"/>
      <c r="E50" s="22"/>
      <c r="F50" s="23" t="s">
        <v>116</v>
      </c>
      <c r="G50" s="23"/>
      <c r="H50" s="23"/>
      <c r="I50" s="24">
        <f>60000</f>
        <v>60000</v>
      </c>
      <c r="J50" s="24"/>
      <c r="K50" s="25">
        <f>285630</f>
        <v>285630</v>
      </c>
      <c r="L50" s="25"/>
      <c r="M50" s="12">
        <f>23440.57</f>
        <v>23440.57</v>
      </c>
      <c r="N50" s="13" t="s">
        <v>117</v>
      </c>
      <c r="O50" s="14" t="s">
        <v>118</v>
      </c>
      <c r="P50" s="24">
        <f>36559.43</f>
        <v>36559.43</v>
      </c>
      <c r="Q50" s="24"/>
      <c r="R50" s="26">
        <f>262189.43</f>
        <v>262189.43</v>
      </c>
      <c r="S50" s="26"/>
    </row>
    <row r="51" spans="1:19" s="1" customFormat="1" ht="13.5" customHeight="1">
      <c r="A51" s="22" t="s">
        <v>119</v>
      </c>
      <c r="B51" s="22"/>
      <c r="C51" s="22"/>
      <c r="D51" s="22"/>
      <c r="E51" s="22"/>
      <c r="F51" s="23" t="s">
        <v>120</v>
      </c>
      <c r="G51" s="23"/>
      <c r="H51" s="23"/>
      <c r="I51" s="24">
        <f>10000</f>
        <v>10000</v>
      </c>
      <c r="J51" s="24"/>
      <c r="K51" s="25">
        <f>93713</f>
        <v>93713</v>
      </c>
      <c r="L51" s="25"/>
      <c r="M51" s="13" t="s">
        <v>1</v>
      </c>
      <c r="N51" s="13" t="s">
        <v>84</v>
      </c>
      <c r="O51" s="14" t="s">
        <v>84</v>
      </c>
      <c r="P51" s="24">
        <f>10000</f>
        <v>10000</v>
      </c>
      <c r="Q51" s="24"/>
      <c r="R51" s="26">
        <f>93713</f>
        <v>93713</v>
      </c>
      <c r="S51" s="26"/>
    </row>
    <row r="52" spans="1:19" s="1" customFormat="1" ht="13.5" customHeight="1">
      <c r="A52" s="22" t="s">
        <v>121</v>
      </c>
      <c r="B52" s="22"/>
      <c r="C52" s="22"/>
      <c r="D52" s="22"/>
      <c r="E52" s="22"/>
      <c r="F52" s="23" t="s">
        <v>120</v>
      </c>
      <c r="G52" s="23"/>
      <c r="H52" s="23"/>
      <c r="I52" s="27" t="s">
        <v>1</v>
      </c>
      <c r="J52" s="27"/>
      <c r="K52" s="29" t="s">
        <v>1</v>
      </c>
      <c r="L52" s="29"/>
      <c r="M52" s="12">
        <f>177.56</f>
        <v>177.56</v>
      </c>
      <c r="N52" s="13" t="s">
        <v>84</v>
      </c>
      <c r="O52" s="14" t="s">
        <v>84</v>
      </c>
      <c r="P52" s="24">
        <f>-177.56</f>
        <v>-177.56</v>
      </c>
      <c r="Q52" s="24"/>
      <c r="R52" s="26">
        <f>-177.56</f>
        <v>-177.56</v>
      </c>
      <c r="S52" s="26"/>
    </row>
    <row r="53" spans="1:19" s="1" customFormat="1" ht="13.5" customHeight="1">
      <c r="A53" s="22" t="s">
        <v>122</v>
      </c>
      <c r="B53" s="22"/>
      <c r="C53" s="22"/>
      <c r="D53" s="22"/>
      <c r="E53" s="22"/>
      <c r="F53" s="23" t="s">
        <v>123</v>
      </c>
      <c r="G53" s="23"/>
      <c r="H53" s="23"/>
      <c r="I53" s="24">
        <f>50000</f>
        <v>50000</v>
      </c>
      <c r="J53" s="24"/>
      <c r="K53" s="25">
        <f>191917</f>
        <v>191917</v>
      </c>
      <c r="L53" s="25"/>
      <c r="M53" s="13" t="s">
        <v>1</v>
      </c>
      <c r="N53" s="13" t="s">
        <v>84</v>
      </c>
      <c r="O53" s="14" t="s">
        <v>84</v>
      </c>
      <c r="P53" s="24">
        <f>50000</f>
        <v>50000</v>
      </c>
      <c r="Q53" s="24"/>
      <c r="R53" s="26">
        <f>191917</f>
        <v>191917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123</v>
      </c>
      <c r="G54" s="23"/>
      <c r="H54" s="23"/>
      <c r="I54" s="27" t="s">
        <v>1</v>
      </c>
      <c r="J54" s="27"/>
      <c r="K54" s="29" t="s">
        <v>1</v>
      </c>
      <c r="L54" s="29"/>
      <c r="M54" s="12">
        <f>22217.74</f>
        <v>22217.74</v>
      </c>
      <c r="N54" s="13" t="s">
        <v>84</v>
      </c>
      <c r="O54" s="14" t="s">
        <v>84</v>
      </c>
      <c r="P54" s="24">
        <f>-22217.74</f>
        <v>-22217.74</v>
      </c>
      <c r="Q54" s="24"/>
      <c r="R54" s="26">
        <f>-22217.74</f>
        <v>-22217.74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123</v>
      </c>
      <c r="G55" s="23"/>
      <c r="H55" s="23"/>
      <c r="I55" s="27" t="s">
        <v>1</v>
      </c>
      <c r="J55" s="27"/>
      <c r="K55" s="29" t="s">
        <v>1</v>
      </c>
      <c r="L55" s="29"/>
      <c r="M55" s="12">
        <f>1046</f>
        <v>1046</v>
      </c>
      <c r="N55" s="13" t="s">
        <v>84</v>
      </c>
      <c r="O55" s="14" t="s">
        <v>84</v>
      </c>
      <c r="P55" s="24">
        <f>-1046</f>
        <v>-1046</v>
      </c>
      <c r="Q55" s="24"/>
      <c r="R55" s="26">
        <f>-1046</f>
        <v>-1046</v>
      </c>
      <c r="S55" s="26"/>
    </row>
    <row r="56" spans="1:19" s="1" customFormat="1" ht="13.5" customHeight="1">
      <c r="A56" s="22" t="s">
        <v>126</v>
      </c>
      <c r="B56" s="22"/>
      <c r="C56" s="22"/>
      <c r="D56" s="22"/>
      <c r="E56" s="22"/>
      <c r="F56" s="23" t="s">
        <v>123</v>
      </c>
      <c r="G56" s="23"/>
      <c r="H56" s="23"/>
      <c r="I56" s="27" t="s">
        <v>1</v>
      </c>
      <c r="J56" s="27"/>
      <c r="K56" s="29" t="s">
        <v>1</v>
      </c>
      <c r="L56" s="29"/>
      <c r="M56" s="12">
        <f>-0.73</f>
        <v>-0.73</v>
      </c>
      <c r="N56" s="13" t="s">
        <v>84</v>
      </c>
      <c r="O56" s="14" t="s">
        <v>84</v>
      </c>
      <c r="P56" s="24">
        <f>0.73</f>
        <v>0.73</v>
      </c>
      <c r="Q56" s="24"/>
      <c r="R56" s="26">
        <f>0.73</f>
        <v>0.73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128</v>
      </c>
      <c r="G57" s="23"/>
      <c r="H57" s="23"/>
      <c r="I57" s="24">
        <f>550000</f>
        <v>550000</v>
      </c>
      <c r="J57" s="24"/>
      <c r="K57" s="25">
        <f>2100000</f>
        <v>2100000</v>
      </c>
      <c r="L57" s="25"/>
      <c r="M57" s="12">
        <f>56183.55</f>
        <v>56183.55</v>
      </c>
      <c r="N57" s="13" t="s">
        <v>129</v>
      </c>
      <c r="O57" s="14" t="s">
        <v>130</v>
      </c>
      <c r="P57" s="24">
        <f>493816.45</f>
        <v>493816.45</v>
      </c>
      <c r="Q57" s="24"/>
      <c r="R57" s="26">
        <f>2043816.45</f>
        <v>2043816.45</v>
      </c>
      <c r="S57" s="26"/>
    </row>
    <row r="58" spans="1:19" s="1" customFormat="1" ht="13.5" customHeight="1">
      <c r="A58" s="22" t="s">
        <v>131</v>
      </c>
      <c r="B58" s="22"/>
      <c r="C58" s="22"/>
      <c r="D58" s="22"/>
      <c r="E58" s="22"/>
      <c r="F58" s="23" t="s">
        <v>132</v>
      </c>
      <c r="G58" s="23"/>
      <c r="H58" s="23"/>
      <c r="I58" s="24">
        <f>540000</f>
        <v>540000</v>
      </c>
      <c r="J58" s="24"/>
      <c r="K58" s="25">
        <f>1850000</f>
        <v>1850000</v>
      </c>
      <c r="L58" s="25"/>
      <c r="M58" s="12">
        <f>43647.03</f>
        <v>43647.03</v>
      </c>
      <c r="N58" s="13" t="s">
        <v>133</v>
      </c>
      <c r="O58" s="14" t="s">
        <v>134</v>
      </c>
      <c r="P58" s="24">
        <f>496352.97</f>
        <v>496352.97</v>
      </c>
      <c r="Q58" s="24"/>
      <c r="R58" s="26">
        <f>1806352.97</f>
        <v>1806352.97</v>
      </c>
      <c r="S58" s="26"/>
    </row>
    <row r="59" spans="1:19" s="1" customFormat="1" ht="33.75" customHeight="1">
      <c r="A59" s="22" t="s">
        <v>135</v>
      </c>
      <c r="B59" s="22"/>
      <c r="C59" s="22"/>
      <c r="D59" s="22"/>
      <c r="E59" s="22"/>
      <c r="F59" s="23" t="s">
        <v>136</v>
      </c>
      <c r="G59" s="23"/>
      <c r="H59" s="23"/>
      <c r="I59" s="24">
        <f>540000</f>
        <v>540000</v>
      </c>
      <c r="J59" s="24"/>
      <c r="K59" s="25">
        <f>1850000</f>
        <v>1850000</v>
      </c>
      <c r="L59" s="25"/>
      <c r="M59" s="13" t="s">
        <v>1</v>
      </c>
      <c r="N59" s="13" t="s">
        <v>84</v>
      </c>
      <c r="O59" s="14" t="s">
        <v>84</v>
      </c>
      <c r="P59" s="24">
        <f>540000</f>
        <v>540000</v>
      </c>
      <c r="Q59" s="24"/>
      <c r="R59" s="26">
        <f>1850000</f>
        <v>1850000</v>
      </c>
      <c r="S59" s="26"/>
    </row>
    <row r="60" spans="1:19" s="1" customFormat="1" ht="33.75" customHeight="1">
      <c r="A60" s="22" t="s">
        <v>137</v>
      </c>
      <c r="B60" s="22"/>
      <c r="C60" s="22"/>
      <c r="D60" s="22"/>
      <c r="E60" s="22"/>
      <c r="F60" s="23" t="s">
        <v>138</v>
      </c>
      <c r="G60" s="23"/>
      <c r="H60" s="23"/>
      <c r="I60" s="27" t="s">
        <v>1</v>
      </c>
      <c r="J60" s="27"/>
      <c r="K60" s="29" t="s">
        <v>1</v>
      </c>
      <c r="L60" s="29"/>
      <c r="M60" s="12">
        <f>66224.07</f>
        <v>66224.07</v>
      </c>
      <c r="N60" s="13" t="s">
        <v>84</v>
      </c>
      <c r="O60" s="14" t="s">
        <v>84</v>
      </c>
      <c r="P60" s="24">
        <f>-66224.07</f>
        <v>-66224.07</v>
      </c>
      <c r="Q60" s="24"/>
      <c r="R60" s="26">
        <f>-66224.07</f>
        <v>-66224.07</v>
      </c>
      <c r="S60" s="26"/>
    </row>
    <row r="61" spans="1:19" s="1" customFormat="1" ht="33.75" customHeight="1">
      <c r="A61" s="22" t="s">
        <v>139</v>
      </c>
      <c r="B61" s="22"/>
      <c r="C61" s="22"/>
      <c r="D61" s="22"/>
      <c r="E61" s="22"/>
      <c r="F61" s="23" t="s">
        <v>138</v>
      </c>
      <c r="G61" s="23"/>
      <c r="H61" s="23"/>
      <c r="I61" s="27" t="s">
        <v>1</v>
      </c>
      <c r="J61" s="27"/>
      <c r="K61" s="29" t="s">
        <v>1</v>
      </c>
      <c r="L61" s="29"/>
      <c r="M61" s="12">
        <f>0.03</f>
        <v>0.03</v>
      </c>
      <c r="N61" s="13" t="s">
        <v>84</v>
      </c>
      <c r="O61" s="14" t="s">
        <v>84</v>
      </c>
      <c r="P61" s="24">
        <f>-0.03</f>
        <v>-0.03</v>
      </c>
      <c r="Q61" s="24"/>
      <c r="R61" s="26">
        <f>-0.03</f>
        <v>-0.03</v>
      </c>
      <c r="S61" s="26"/>
    </row>
    <row r="62" spans="1:19" s="1" customFormat="1" ht="33.75" customHeight="1">
      <c r="A62" s="22" t="s">
        <v>140</v>
      </c>
      <c r="B62" s="22"/>
      <c r="C62" s="22"/>
      <c r="D62" s="22"/>
      <c r="E62" s="22"/>
      <c r="F62" s="23" t="s">
        <v>138</v>
      </c>
      <c r="G62" s="23"/>
      <c r="H62" s="23"/>
      <c r="I62" s="27" t="s">
        <v>1</v>
      </c>
      <c r="J62" s="27"/>
      <c r="K62" s="29" t="s">
        <v>1</v>
      </c>
      <c r="L62" s="29"/>
      <c r="M62" s="12">
        <f>-22577.07</f>
        <v>-22577.07</v>
      </c>
      <c r="N62" s="13" t="s">
        <v>84</v>
      </c>
      <c r="O62" s="14" t="s">
        <v>84</v>
      </c>
      <c r="P62" s="24">
        <f>22577.07</f>
        <v>22577.07</v>
      </c>
      <c r="Q62" s="24"/>
      <c r="R62" s="26">
        <f>22577.07</f>
        <v>22577.07</v>
      </c>
      <c r="S62" s="26"/>
    </row>
    <row r="63" spans="1:19" s="1" customFormat="1" ht="13.5" customHeight="1">
      <c r="A63" s="22" t="s">
        <v>141</v>
      </c>
      <c r="B63" s="22"/>
      <c r="C63" s="22"/>
      <c r="D63" s="22"/>
      <c r="E63" s="22"/>
      <c r="F63" s="23" t="s">
        <v>142</v>
      </c>
      <c r="G63" s="23"/>
      <c r="H63" s="23"/>
      <c r="I63" s="24">
        <f>10000</f>
        <v>10000</v>
      </c>
      <c r="J63" s="24"/>
      <c r="K63" s="25">
        <f>250000</f>
        <v>250000</v>
      </c>
      <c r="L63" s="25"/>
      <c r="M63" s="12">
        <f>12536.52</f>
        <v>12536.52</v>
      </c>
      <c r="N63" s="13" t="s">
        <v>143</v>
      </c>
      <c r="O63" s="14" t="s">
        <v>144</v>
      </c>
      <c r="P63" s="24">
        <f>-2536.52</f>
        <v>-2536.52</v>
      </c>
      <c r="Q63" s="24"/>
      <c r="R63" s="26">
        <f>237463.48</f>
        <v>237463.48</v>
      </c>
      <c r="S63" s="26"/>
    </row>
    <row r="64" spans="1:19" s="1" customFormat="1" ht="33.75" customHeight="1">
      <c r="A64" s="22" t="s">
        <v>145</v>
      </c>
      <c r="B64" s="22"/>
      <c r="C64" s="22"/>
      <c r="D64" s="22"/>
      <c r="E64" s="22"/>
      <c r="F64" s="23" t="s">
        <v>146</v>
      </c>
      <c r="G64" s="23"/>
      <c r="H64" s="23"/>
      <c r="I64" s="24">
        <f>10000</f>
        <v>10000</v>
      </c>
      <c r="J64" s="24"/>
      <c r="K64" s="25">
        <f>250000</f>
        <v>250000</v>
      </c>
      <c r="L64" s="25"/>
      <c r="M64" s="13" t="s">
        <v>1</v>
      </c>
      <c r="N64" s="13" t="s">
        <v>84</v>
      </c>
      <c r="O64" s="14" t="s">
        <v>84</v>
      </c>
      <c r="P64" s="24">
        <f>10000</f>
        <v>10000</v>
      </c>
      <c r="Q64" s="24"/>
      <c r="R64" s="26">
        <f>250000</f>
        <v>250000</v>
      </c>
      <c r="S64" s="26"/>
    </row>
    <row r="65" spans="1:19" s="1" customFormat="1" ht="33.75" customHeight="1">
      <c r="A65" s="22" t="s">
        <v>147</v>
      </c>
      <c r="B65" s="22"/>
      <c r="C65" s="22"/>
      <c r="D65" s="22"/>
      <c r="E65" s="22"/>
      <c r="F65" s="23" t="s">
        <v>148</v>
      </c>
      <c r="G65" s="23"/>
      <c r="H65" s="23"/>
      <c r="I65" s="27" t="s">
        <v>1</v>
      </c>
      <c r="J65" s="27"/>
      <c r="K65" s="29" t="s">
        <v>1</v>
      </c>
      <c r="L65" s="29"/>
      <c r="M65" s="12">
        <f>11859.67</f>
        <v>11859.67</v>
      </c>
      <c r="N65" s="13" t="s">
        <v>84</v>
      </c>
      <c r="O65" s="14" t="s">
        <v>84</v>
      </c>
      <c r="P65" s="24">
        <f>-11859.67</f>
        <v>-11859.67</v>
      </c>
      <c r="Q65" s="24"/>
      <c r="R65" s="26">
        <f>-11859.67</f>
        <v>-11859.67</v>
      </c>
      <c r="S65" s="26"/>
    </row>
    <row r="66" spans="1:19" s="1" customFormat="1" ht="33.75" customHeight="1">
      <c r="A66" s="22" t="s">
        <v>149</v>
      </c>
      <c r="B66" s="22"/>
      <c r="C66" s="22"/>
      <c r="D66" s="22"/>
      <c r="E66" s="22"/>
      <c r="F66" s="23" t="s">
        <v>148</v>
      </c>
      <c r="G66" s="23"/>
      <c r="H66" s="23"/>
      <c r="I66" s="27" t="s">
        <v>1</v>
      </c>
      <c r="J66" s="27"/>
      <c r="K66" s="29" t="s">
        <v>1</v>
      </c>
      <c r="L66" s="29"/>
      <c r="M66" s="12">
        <f>677.05</f>
        <v>677.05</v>
      </c>
      <c r="N66" s="13" t="s">
        <v>84</v>
      </c>
      <c r="O66" s="14" t="s">
        <v>84</v>
      </c>
      <c r="P66" s="24">
        <f>-677.05</f>
        <v>-677.05</v>
      </c>
      <c r="Q66" s="24"/>
      <c r="R66" s="26">
        <f>-677.05</f>
        <v>-677.05</v>
      </c>
      <c r="S66" s="26"/>
    </row>
    <row r="67" spans="1:19" s="1" customFormat="1" ht="33.75" customHeight="1">
      <c r="A67" s="22" t="s">
        <v>150</v>
      </c>
      <c r="B67" s="22"/>
      <c r="C67" s="22"/>
      <c r="D67" s="22"/>
      <c r="E67" s="22"/>
      <c r="F67" s="23" t="s">
        <v>148</v>
      </c>
      <c r="G67" s="23"/>
      <c r="H67" s="23"/>
      <c r="I67" s="27" t="s">
        <v>1</v>
      </c>
      <c r="J67" s="27"/>
      <c r="K67" s="29" t="s">
        <v>1</v>
      </c>
      <c r="L67" s="29"/>
      <c r="M67" s="12">
        <f>-0.2</f>
        <v>-0.2</v>
      </c>
      <c r="N67" s="13" t="s">
        <v>84</v>
      </c>
      <c r="O67" s="14" t="s">
        <v>84</v>
      </c>
      <c r="P67" s="24">
        <f>0.2</f>
        <v>0.2</v>
      </c>
      <c r="Q67" s="24"/>
      <c r="R67" s="26">
        <f>0.2</f>
        <v>0.2</v>
      </c>
      <c r="S67" s="26"/>
    </row>
    <row r="68" spans="1:19" s="1" customFormat="1" ht="24" customHeight="1">
      <c r="A68" s="22" t="s">
        <v>151</v>
      </c>
      <c r="B68" s="22"/>
      <c r="C68" s="22"/>
      <c r="D68" s="22"/>
      <c r="E68" s="22"/>
      <c r="F68" s="23" t="s">
        <v>7</v>
      </c>
      <c r="G68" s="23"/>
      <c r="H68" s="23"/>
      <c r="I68" s="24">
        <f>22402177</f>
        <v>22402177</v>
      </c>
      <c r="J68" s="24"/>
      <c r="K68" s="25">
        <f>96757232.95</f>
        <v>96757232.95</v>
      </c>
      <c r="L68" s="25"/>
      <c r="M68" s="12">
        <f>19117374.05</f>
        <v>19117374.05</v>
      </c>
      <c r="N68" s="13" t="s">
        <v>152</v>
      </c>
      <c r="O68" s="14" t="s">
        <v>153</v>
      </c>
      <c r="P68" s="24">
        <f>3284802.95</f>
        <v>3284802.95</v>
      </c>
      <c r="Q68" s="24"/>
      <c r="R68" s="26">
        <f>77639858.9</f>
        <v>77639858.9</v>
      </c>
      <c r="S68" s="26"/>
    </row>
    <row r="69" spans="1:19" s="1" customFormat="1" ht="13.5" customHeight="1">
      <c r="A69" s="22" t="s">
        <v>154</v>
      </c>
      <c r="B69" s="22"/>
      <c r="C69" s="22"/>
      <c r="D69" s="22"/>
      <c r="E69" s="22"/>
      <c r="F69" s="23" t="s">
        <v>42</v>
      </c>
      <c r="G69" s="23"/>
      <c r="H69" s="23"/>
      <c r="I69" s="24">
        <f>2296600</f>
        <v>2296600</v>
      </c>
      <c r="J69" s="24"/>
      <c r="K69" s="25">
        <f>10941950.7</f>
        <v>10941950.7</v>
      </c>
      <c r="L69" s="25"/>
      <c r="M69" s="12">
        <f>1673068.83</f>
        <v>1673068.83</v>
      </c>
      <c r="N69" s="13" t="s">
        <v>155</v>
      </c>
      <c r="O69" s="14" t="s">
        <v>156</v>
      </c>
      <c r="P69" s="24">
        <f>623531.17</f>
        <v>623531.17</v>
      </c>
      <c r="Q69" s="24"/>
      <c r="R69" s="26">
        <f>9268881.87</f>
        <v>9268881.87</v>
      </c>
      <c r="S69" s="26"/>
    </row>
    <row r="70" spans="1:19" s="1" customFormat="1" ht="33.75" customHeight="1">
      <c r="A70" s="22" t="s">
        <v>157</v>
      </c>
      <c r="B70" s="22"/>
      <c r="C70" s="22"/>
      <c r="D70" s="22"/>
      <c r="E70" s="22"/>
      <c r="F70" s="23" t="s">
        <v>158</v>
      </c>
      <c r="G70" s="23"/>
      <c r="H70" s="23"/>
      <c r="I70" s="24">
        <f>1641000</f>
        <v>1641000</v>
      </c>
      <c r="J70" s="24"/>
      <c r="K70" s="25">
        <f>6516350.7</f>
        <v>6516350.7</v>
      </c>
      <c r="L70" s="25"/>
      <c r="M70" s="12">
        <f>677630.08</f>
        <v>677630.08</v>
      </c>
      <c r="N70" s="13" t="s">
        <v>159</v>
      </c>
      <c r="O70" s="14" t="s">
        <v>160</v>
      </c>
      <c r="P70" s="24">
        <f>963369.92</f>
        <v>963369.92</v>
      </c>
      <c r="Q70" s="24"/>
      <c r="R70" s="26">
        <f>5838720.62</f>
        <v>5838720.62</v>
      </c>
      <c r="S70" s="26"/>
    </row>
    <row r="71" spans="1:19" s="1" customFormat="1" ht="75.75" customHeight="1">
      <c r="A71" s="22" t="s">
        <v>161</v>
      </c>
      <c r="B71" s="22"/>
      <c r="C71" s="22"/>
      <c r="D71" s="22"/>
      <c r="E71" s="22"/>
      <c r="F71" s="23" t="s">
        <v>162</v>
      </c>
      <c r="G71" s="23"/>
      <c r="H71" s="23"/>
      <c r="I71" s="24">
        <f>1000</f>
        <v>1000</v>
      </c>
      <c r="J71" s="24"/>
      <c r="K71" s="25">
        <f>6350.7</f>
        <v>6350.7</v>
      </c>
      <c r="L71" s="25"/>
      <c r="M71" s="12">
        <f>2326.29</f>
        <v>2326.29</v>
      </c>
      <c r="N71" s="13" t="s">
        <v>163</v>
      </c>
      <c r="O71" s="14" t="s">
        <v>164</v>
      </c>
      <c r="P71" s="24">
        <f>-1326.29</f>
        <v>-1326.29</v>
      </c>
      <c r="Q71" s="24"/>
      <c r="R71" s="26">
        <f>4024.41</f>
        <v>4024.41</v>
      </c>
      <c r="S71" s="26"/>
    </row>
    <row r="72" spans="1:19" s="1" customFormat="1" ht="75.75" customHeight="1">
      <c r="A72" s="22" t="s">
        <v>165</v>
      </c>
      <c r="B72" s="22"/>
      <c r="C72" s="22"/>
      <c r="D72" s="22"/>
      <c r="E72" s="22"/>
      <c r="F72" s="23" t="s">
        <v>166</v>
      </c>
      <c r="G72" s="23"/>
      <c r="H72" s="23"/>
      <c r="I72" s="24">
        <f>1000</f>
        <v>1000</v>
      </c>
      <c r="J72" s="24"/>
      <c r="K72" s="25">
        <f>6350.7</f>
        <v>6350.7</v>
      </c>
      <c r="L72" s="25"/>
      <c r="M72" s="12">
        <f>2326.29</f>
        <v>2326.29</v>
      </c>
      <c r="N72" s="13" t="s">
        <v>163</v>
      </c>
      <c r="O72" s="14" t="s">
        <v>164</v>
      </c>
      <c r="P72" s="24">
        <f>-1326.29</f>
        <v>-1326.29</v>
      </c>
      <c r="Q72" s="24"/>
      <c r="R72" s="26">
        <f>4024.41</f>
        <v>4024.41</v>
      </c>
      <c r="S72" s="26"/>
    </row>
    <row r="73" spans="1:19" s="1" customFormat="1" ht="66" customHeight="1">
      <c r="A73" s="22" t="s">
        <v>167</v>
      </c>
      <c r="B73" s="22"/>
      <c r="C73" s="22"/>
      <c r="D73" s="22"/>
      <c r="E73" s="22"/>
      <c r="F73" s="23" t="s">
        <v>168</v>
      </c>
      <c r="G73" s="23"/>
      <c r="H73" s="23"/>
      <c r="I73" s="24">
        <f>1000</f>
        <v>1000</v>
      </c>
      <c r="J73" s="24"/>
      <c r="K73" s="25">
        <f>6350.7</f>
        <v>6350.7</v>
      </c>
      <c r="L73" s="25"/>
      <c r="M73" s="12">
        <f>2326.29</f>
        <v>2326.29</v>
      </c>
      <c r="N73" s="13" t="s">
        <v>163</v>
      </c>
      <c r="O73" s="14" t="s">
        <v>164</v>
      </c>
      <c r="P73" s="24">
        <f>-1326.29</f>
        <v>-1326.29</v>
      </c>
      <c r="Q73" s="24"/>
      <c r="R73" s="26">
        <f>4024.41</f>
        <v>4024.41</v>
      </c>
      <c r="S73" s="26"/>
    </row>
    <row r="74" spans="1:19" s="1" customFormat="1" ht="75.75" customHeight="1">
      <c r="A74" s="22" t="s">
        <v>169</v>
      </c>
      <c r="B74" s="22"/>
      <c r="C74" s="22"/>
      <c r="D74" s="22"/>
      <c r="E74" s="22"/>
      <c r="F74" s="23" t="s">
        <v>170</v>
      </c>
      <c r="G74" s="23"/>
      <c r="H74" s="23"/>
      <c r="I74" s="24">
        <f>1640000</f>
        <v>1640000</v>
      </c>
      <c r="J74" s="24"/>
      <c r="K74" s="25">
        <f>6510000</f>
        <v>6510000</v>
      </c>
      <c r="L74" s="25"/>
      <c r="M74" s="12">
        <f>675303.79</f>
        <v>675303.79</v>
      </c>
      <c r="N74" s="13" t="s">
        <v>171</v>
      </c>
      <c r="O74" s="14" t="s">
        <v>172</v>
      </c>
      <c r="P74" s="24">
        <f>964696.21</f>
        <v>964696.21</v>
      </c>
      <c r="Q74" s="24"/>
      <c r="R74" s="26">
        <f>5834696.21</f>
        <v>5834696.21</v>
      </c>
      <c r="S74" s="26"/>
    </row>
    <row r="75" spans="1:19" s="1" customFormat="1" ht="66" customHeight="1">
      <c r="A75" s="22" t="s">
        <v>173</v>
      </c>
      <c r="B75" s="22"/>
      <c r="C75" s="22"/>
      <c r="D75" s="22"/>
      <c r="E75" s="22"/>
      <c r="F75" s="23" t="s">
        <v>174</v>
      </c>
      <c r="G75" s="23"/>
      <c r="H75" s="23"/>
      <c r="I75" s="24">
        <f>1640000</f>
        <v>1640000</v>
      </c>
      <c r="J75" s="24"/>
      <c r="K75" s="25">
        <f>6510000</f>
        <v>6510000</v>
      </c>
      <c r="L75" s="25"/>
      <c r="M75" s="12">
        <f>675303.79</f>
        <v>675303.79</v>
      </c>
      <c r="N75" s="13" t="s">
        <v>171</v>
      </c>
      <c r="O75" s="14" t="s">
        <v>172</v>
      </c>
      <c r="P75" s="24">
        <f>964696.21</f>
        <v>964696.21</v>
      </c>
      <c r="Q75" s="24"/>
      <c r="R75" s="26">
        <f>5834696.21</f>
        <v>5834696.21</v>
      </c>
      <c r="S75" s="26"/>
    </row>
    <row r="76" spans="1:19" s="1" customFormat="1" ht="66" customHeight="1">
      <c r="A76" s="22" t="s">
        <v>175</v>
      </c>
      <c r="B76" s="22"/>
      <c r="C76" s="22"/>
      <c r="D76" s="22"/>
      <c r="E76" s="22"/>
      <c r="F76" s="23" t="s">
        <v>176</v>
      </c>
      <c r="G76" s="23"/>
      <c r="H76" s="23"/>
      <c r="I76" s="24">
        <f>1640000</f>
        <v>1640000</v>
      </c>
      <c r="J76" s="24"/>
      <c r="K76" s="25">
        <f>6510000</f>
        <v>6510000</v>
      </c>
      <c r="L76" s="25"/>
      <c r="M76" s="12">
        <f>675303.79</f>
        <v>675303.79</v>
      </c>
      <c r="N76" s="13" t="s">
        <v>171</v>
      </c>
      <c r="O76" s="14" t="s">
        <v>172</v>
      </c>
      <c r="P76" s="24">
        <f>964696.21</f>
        <v>964696.21</v>
      </c>
      <c r="Q76" s="24"/>
      <c r="R76" s="26">
        <f>5834696.21</f>
        <v>5834696.21</v>
      </c>
      <c r="S76" s="26"/>
    </row>
    <row r="77" spans="1:19" s="1" customFormat="1" ht="24" customHeight="1">
      <c r="A77" s="22" t="s">
        <v>177</v>
      </c>
      <c r="B77" s="22"/>
      <c r="C77" s="22"/>
      <c r="D77" s="22"/>
      <c r="E77" s="22"/>
      <c r="F77" s="23" t="s">
        <v>178</v>
      </c>
      <c r="G77" s="23"/>
      <c r="H77" s="23"/>
      <c r="I77" s="27" t="s">
        <v>1</v>
      </c>
      <c r="J77" s="27"/>
      <c r="K77" s="29" t="s">
        <v>1</v>
      </c>
      <c r="L77" s="29"/>
      <c r="M77" s="12">
        <f>25715.98</f>
        <v>25715.98</v>
      </c>
      <c r="N77" s="13" t="s">
        <v>84</v>
      </c>
      <c r="O77" s="14" t="s">
        <v>84</v>
      </c>
      <c r="P77" s="24">
        <f>-25715.98</f>
        <v>-25715.98</v>
      </c>
      <c r="Q77" s="24"/>
      <c r="R77" s="26">
        <f>-25715.98</f>
        <v>-25715.98</v>
      </c>
      <c r="S77" s="26"/>
    </row>
    <row r="78" spans="1:19" s="1" customFormat="1" ht="13.5" customHeight="1">
      <c r="A78" s="22" t="s">
        <v>179</v>
      </c>
      <c r="B78" s="22"/>
      <c r="C78" s="22"/>
      <c r="D78" s="22"/>
      <c r="E78" s="22"/>
      <c r="F78" s="23" t="s">
        <v>180</v>
      </c>
      <c r="G78" s="23"/>
      <c r="H78" s="23"/>
      <c r="I78" s="27" t="s">
        <v>1</v>
      </c>
      <c r="J78" s="27"/>
      <c r="K78" s="29" t="s">
        <v>1</v>
      </c>
      <c r="L78" s="29"/>
      <c r="M78" s="12">
        <f>25715.98</f>
        <v>25715.98</v>
      </c>
      <c r="N78" s="13" t="s">
        <v>84</v>
      </c>
      <c r="O78" s="14" t="s">
        <v>84</v>
      </c>
      <c r="P78" s="24">
        <f>-25715.98</f>
        <v>-25715.98</v>
      </c>
      <c r="Q78" s="24"/>
      <c r="R78" s="26">
        <f>-25715.98</f>
        <v>-25715.98</v>
      </c>
      <c r="S78" s="26"/>
    </row>
    <row r="79" spans="1:19" s="1" customFormat="1" ht="24" customHeight="1">
      <c r="A79" s="22" t="s">
        <v>181</v>
      </c>
      <c r="B79" s="22"/>
      <c r="C79" s="22"/>
      <c r="D79" s="22"/>
      <c r="E79" s="22"/>
      <c r="F79" s="23" t="s">
        <v>182</v>
      </c>
      <c r="G79" s="23"/>
      <c r="H79" s="23"/>
      <c r="I79" s="27" t="s">
        <v>1</v>
      </c>
      <c r="J79" s="27"/>
      <c r="K79" s="29" t="s">
        <v>1</v>
      </c>
      <c r="L79" s="29"/>
      <c r="M79" s="12">
        <f>25715.98</f>
        <v>25715.98</v>
      </c>
      <c r="N79" s="13" t="s">
        <v>84</v>
      </c>
      <c r="O79" s="14" t="s">
        <v>84</v>
      </c>
      <c r="P79" s="24">
        <f>-25715.98</f>
        <v>-25715.98</v>
      </c>
      <c r="Q79" s="24"/>
      <c r="R79" s="26">
        <f>-25715.98</f>
        <v>-25715.98</v>
      </c>
      <c r="S79" s="26"/>
    </row>
    <row r="80" spans="1:19" s="1" customFormat="1" ht="24" customHeight="1">
      <c r="A80" s="22" t="s">
        <v>183</v>
      </c>
      <c r="B80" s="22"/>
      <c r="C80" s="22"/>
      <c r="D80" s="22"/>
      <c r="E80" s="22"/>
      <c r="F80" s="23" t="s">
        <v>184</v>
      </c>
      <c r="G80" s="23"/>
      <c r="H80" s="23"/>
      <c r="I80" s="27" t="s">
        <v>1</v>
      </c>
      <c r="J80" s="27"/>
      <c r="K80" s="29" t="s">
        <v>1</v>
      </c>
      <c r="L80" s="29"/>
      <c r="M80" s="12">
        <f>25715.98</f>
        <v>25715.98</v>
      </c>
      <c r="N80" s="13" t="s">
        <v>84</v>
      </c>
      <c r="O80" s="14" t="s">
        <v>84</v>
      </c>
      <c r="P80" s="24">
        <f>-25715.98</f>
        <v>-25715.98</v>
      </c>
      <c r="Q80" s="24"/>
      <c r="R80" s="26">
        <f>-25715.98</f>
        <v>-25715.98</v>
      </c>
      <c r="S80" s="26"/>
    </row>
    <row r="81" spans="1:19" s="1" customFormat="1" ht="24" customHeight="1">
      <c r="A81" s="22" t="s">
        <v>185</v>
      </c>
      <c r="B81" s="22"/>
      <c r="C81" s="22"/>
      <c r="D81" s="22"/>
      <c r="E81" s="22"/>
      <c r="F81" s="23" t="s">
        <v>186</v>
      </c>
      <c r="G81" s="23"/>
      <c r="H81" s="23"/>
      <c r="I81" s="24">
        <f>655600</f>
        <v>655600</v>
      </c>
      <c r="J81" s="24"/>
      <c r="K81" s="25">
        <f>4425600</f>
        <v>4425600</v>
      </c>
      <c r="L81" s="25"/>
      <c r="M81" s="12">
        <f>969722.77</f>
        <v>969722.77</v>
      </c>
      <c r="N81" s="13" t="s">
        <v>187</v>
      </c>
      <c r="O81" s="14" t="s">
        <v>188</v>
      </c>
      <c r="P81" s="24">
        <f>-314122.77</f>
        <v>-314122.77</v>
      </c>
      <c r="Q81" s="24"/>
      <c r="R81" s="26">
        <f>3455877.23</f>
        <v>3455877.23</v>
      </c>
      <c r="S81" s="26"/>
    </row>
    <row r="82" spans="1:19" s="1" customFormat="1" ht="13.5" customHeight="1">
      <c r="A82" s="22" t="s">
        <v>189</v>
      </c>
      <c r="B82" s="22"/>
      <c r="C82" s="22"/>
      <c r="D82" s="22"/>
      <c r="E82" s="22"/>
      <c r="F82" s="23" t="s">
        <v>190</v>
      </c>
      <c r="G82" s="23"/>
      <c r="H82" s="23"/>
      <c r="I82" s="24">
        <f>610000</f>
        <v>610000</v>
      </c>
      <c r="J82" s="24"/>
      <c r="K82" s="25">
        <f>4380000</f>
        <v>4380000</v>
      </c>
      <c r="L82" s="25"/>
      <c r="M82" s="12">
        <f>924122.77</f>
        <v>924122.77</v>
      </c>
      <c r="N82" s="13" t="s">
        <v>191</v>
      </c>
      <c r="O82" s="14" t="s">
        <v>192</v>
      </c>
      <c r="P82" s="24">
        <f>-314122.77</f>
        <v>-314122.77</v>
      </c>
      <c r="Q82" s="24"/>
      <c r="R82" s="26">
        <f>3455877.23</f>
        <v>3455877.23</v>
      </c>
      <c r="S82" s="26"/>
    </row>
    <row r="83" spans="1:19" s="1" customFormat="1" ht="24" customHeight="1">
      <c r="A83" s="22" t="s">
        <v>193</v>
      </c>
      <c r="B83" s="22"/>
      <c r="C83" s="22"/>
      <c r="D83" s="22"/>
      <c r="E83" s="22"/>
      <c r="F83" s="23" t="s">
        <v>194</v>
      </c>
      <c r="G83" s="23"/>
      <c r="H83" s="23"/>
      <c r="I83" s="24">
        <f>610000</f>
        <v>610000</v>
      </c>
      <c r="J83" s="24"/>
      <c r="K83" s="25">
        <f>4380000</f>
        <v>4380000</v>
      </c>
      <c r="L83" s="25"/>
      <c r="M83" s="12">
        <f>924122.77</f>
        <v>924122.77</v>
      </c>
      <c r="N83" s="13" t="s">
        <v>191</v>
      </c>
      <c r="O83" s="14" t="s">
        <v>192</v>
      </c>
      <c r="P83" s="24">
        <f>-314122.77</f>
        <v>-314122.77</v>
      </c>
      <c r="Q83" s="24"/>
      <c r="R83" s="26">
        <f>3455877.23</f>
        <v>3455877.23</v>
      </c>
      <c r="S83" s="26"/>
    </row>
    <row r="84" spans="1:19" s="1" customFormat="1" ht="66" customHeight="1">
      <c r="A84" s="22" t="s">
        <v>195</v>
      </c>
      <c r="B84" s="22"/>
      <c r="C84" s="22"/>
      <c r="D84" s="22"/>
      <c r="E84" s="22"/>
      <c r="F84" s="23" t="s">
        <v>196</v>
      </c>
      <c r="G84" s="23"/>
      <c r="H84" s="23"/>
      <c r="I84" s="24">
        <f>45600</f>
        <v>45600</v>
      </c>
      <c r="J84" s="24"/>
      <c r="K84" s="25">
        <f>45600</f>
        <v>45600</v>
      </c>
      <c r="L84" s="25"/>
      <c r="M84" s="12">
        <f>45600</f>
        <v>45600</v>
      </c>
      <c r="N84" s="13" t="s">
        <v>197</v>
      </c>
      <c r="O84" s="14" t="s">
        <v>197</v>
      </c>
      <c r="P84" s="27" t="s">
        <v>1</v>
      </c>
      <c r="Q84" s="27"/>
      <c r="R84" s="28" t="s">
        <v>1</v>
      </c>
      <c r="S84" s="28"/>
    </row>
    <row r="85" spans="1:19" s="1" customFormat="1" ht="66" customHeight="1">
      <c r="A85" s="22" t="s">
        <v>198</v>
      </c>
      <c r="B85" s="22"/>
      <c r="C85" s="22"/>
      <c r="D85" s="22"/>
      <c r="E85" s="22"/>
      <c r="F85" s="23" t="s">
        <v>199</v>
      </c>
      <c r="G85" s="23"/>
      <c r="H85" s="23"/>
      <c r="I85" s="24">
        <f>45600</f>
        <v>45600</v>
      </c>
      <c r="J85" s="24"/>
      <c r="K85" s="25">
        <f>45600</f>
        <v>45600</v>
      </c>
      <c r="L85" s="25"/>
      <c r="M85" s="12">
        <f>45600</f>
        <v>45600</v>
      </c>
      <c r="N85" s="13" t="s">
        <v>197</v>
      </c>
      <c r="O85" s="14" t="s">
        <v>197</v>
      </c>
      <c r="P85" s="27" t="s">
        <v>1</v>
      </c>
      <c r="Q85" s="27"/>
      <c r="R85" s="28" t="s">
        <v>1</v>
      </c>
      <c r="S85" s="28"/>
    </row>
    <row r="86" spans="1:19" s="1" customFormat="1" ht="54.75" customHeight="1">
      <c r="A86" s="22" t="s">
        <v>200</v>
      </c>
      <c r="B86" s="22"/>
      <c r="C86" s="22"/>
      <c r="D86" s="22"/>
      <c r="E86" s="22"/>
      <c r="F86" s="23" t="s">
        <v>201</v>
      </c>
      <c r="G86" s="23"/>
      <c r="H86" s="23"/>
      <c r="I86" s="24">
        <f>45600</f>
        <v>45600</v>
      </c>
      <c r="J86" s="24"/>
      <c r="K86" s="25">
        <f>45600</f>
        <v>45600</v>
      </c>
      <c r="L86" s="25"/>
      <c r="M86" s="12">
        <f>45600</f>
        <v>45600</v>
      </c>
      <c r="N86" s="13" t="s">
        <v>197</v>
      </c>
      <c r="O86" s="14" t="s">
        <v>197</v>
      </c>
      <c r="P86" s="27" t="s">
        <v>1</v>
      </c>
      <c r="Q86" s="27"/>
      <c r="R86" s="28" t="s">
        <v>1</v>
      </c>
      <c r="S86" s="28"/>
    </row>
    <row r="87" spans="1:19" s="1" customFormat="1" ht="13.5" customHeight="1">
      <c r="A87" s="22" t="s">
        <v>202</v>
      </c>
      <c r="B87" s="22"/>
      <c r="C87" s="22"/>
      <c r="D87" s="22"/>
      <c r="E87" s="22"/>
      <c r="F87" s="23" t="s">
        <v>203</v>
      </c>
      <c r="G87" s="23"/>
      <c r="H87" s="23"/>
      <c r="I87" s="24">
        <f>20105577</f>
        <v>20105577</v>
      </c>
      <c r="J87" s="24"/>
      <c r="K87" s="25">
        <f>85815282.25</f>
        <v>85815282.25</v>
      </c>
      <c r="L87" s="25"/>
      <c r="M87" s="12">
        <f>17444305.22</f>
        <v>17444305.22</v>
      </c>
      <c r="N87" s="13" t="s">
        <v>204</v>
      </c>
      <c r="O87" s="14" t="s">
        <v>205</v>
      </c>
      <c r="P87" s="24">
        <f>2661271.78</f>
        <v>2661271.78</v>
      </c>
      <c r="Q87" s="24"/>
      <c r="R87" s="26">
        <f>68370977.03</f>
        <v>68370977.03</v>
      </c>
      <c r="S87" s="26"/>
    </row>
    <row r="88" spans="1:19" s="1" customFormat="1" ht="33.75" customHeight="1">
      <c r="A88" s="22" t="s">
        <v>206</v>
      </c>
      <c r="B88" s="22"/>
      <c r="C88" s="22"/>
      <c r="D88" s="22"/>
      <c r="E88" s="22"/>
      <c r="F88" s="23" t="s">
        <v>207</v>
      </c>
      <c r="G88" s="23"/>
      <c r="H88" s="23"/>
      <c r="I88" s="24">
        <f>20105577</f>
        <v>20105577</v>
      </c>
      <c r="J88" s="24"/>
      <c r="K88" s="25">
        <f>85815282.25</f>
        <v>85815282.25</v>
      </c>
      <c r="L88" s="25"/>
      <c r="M88" s="12">
        <f>17444305.22</f>
        <v>17444305.22</v>
      </c>
      <c r="N88" s="13" t="s">
        <v>204</v>
      </c>
      <c r="O88" s="14" t="s">
        <v>205</v>
      </c>
      <c r="P88" s="24">
        <f>2661271.78</f>
        <v>2661271.78</v>
      </c>
      <c r="Q88" s="24"/>
      <c r="R88" s="26">
        <f>68370977.03</f>
        <v>68370977.03</v>
      </c>
      <c r="S88" s="26"/>
    </row>
    <row r="89" spans="1:19" s="1" customFormat="1" ht="24" customHeight="1">
      <c r="A89" s="22" t="s">
        <v>208</v>
      </c>
      <c r="B89" s="22"/>
      <c r="C89" s="22"/>
      <c r="D89" s="22"/>
      <c r="E89" s="22"/>
      <c r="F89" s="23" t="s">
        <v>209</v>
      </c>
      <c r="G89" s="23"/>
      <c r="H89" s="23"/>
      <c r="I89" s="24">
        <f>16708025</f>
        <v>16708025</v>
      </c>
      <c r="J89" s="24"/>
      <c r="K89" s="25">
        <f>66832100</f>
        <v>66832100</v>
      </c>
      <c r="L89" s="25"/>
      <c r="M89" s="12">
        <f>16708025</f>
        <v>16708025</v>
      </c>
      <c r="N89" s="13" t="s">
        <v>197</v>
      </c>
      <c r="O89" s="14" t="s">
        <v>210</v>
      </c>
      <c r="P89" s="27" t="s">
        <v>1</v>
      </c>
      <c r="Q89" s="27"/>
      <c r="R89" s="26">
        <f>50124075</f>
        <v>50124075</v>
      </c>
      <c r="S89" s="26"/>
    </row>
    <row r="90" spans="1:19" s="1" customFormat="1" ht="45" customHeight="1">
      <c r="A90" s="22" t="s">
        <v>211</v>
      </c>
      <c r="B90" s="22"/>
      <c r="C90" s="22"/>
      <c r="D90" s="22"/>
      <c r="E90" s="22"/>
      <c r="F90" s="23" t="s">
        <v>212</v>
      </c>
      <c r="G90" s="23"/>
      <c r="H90" s="23"/>
      <c r="I90" s="24">
        <f>16708025</f>
        <v>16708025</v>
      </c>
      <c r="J90" s="24"/>
      <c r="K90" s="25">
        <f>66832100</f>
        <v>66832100</v>
      </c>
      <c r="L90" s="25"/>
      <c r="M90" s="12">
        <f>16708025</f>
        <v>16708025</v>
      </c>
      <c r="N90" s="13" t="s">
        <v>197</v>
      </c>
      <c r="O90" s="14" t="s">
        <v>210</v>
      </c>
      <c r="P90" s="27" t="s">
        <v>1</v>
      </c>
      <c r="Q90" s="27"/>
      <c r="R90" s="26">
        <f>50124075</f>
        <v>50124075</v>
      </c>
      <c r="S90" s="26"/>
    </row>
    <row r="91" spans="1:19" s="1" customFormat="1" ht="33.75" customHeight="1">
      <c r="A91" s="22" t="s">
        <v>213</v>
      </c>
      <c r="B91" s="22"/>
      <c r="C91" s="22"/>
      <c r="D91" s="22"/>
      <c r="E91" s="22"/>
      <c r="F91" s="23" t="s">
        <v>214</v>
      </c>
      <c r="G91" s="23"/>
      <c r="H91" s="23"/>
      <c r="I91" s="24">
        <f>16708025</f>
        <v>16708025</v>
      </c>
      <c r="J91" s="24"/>
      <c r="K91" s="25">
        <f>66832100</f>
        <v>66832100</v>
      </c>
      <c r="L91" s="25"/>
      <c r="M91" s="12">
        <f>16708025</f>
        <v>16708025</v>
      </c>
      <c r="N91" s="13" t="s">
        <v>197</v>
      </c>
      <c r="O91" s="14" t="s">
        <v>210</v>
      </c>
      <c r="P91" s="27" t="s">
        <v>1</v>
      </c>
      <c r="Q91" s="27"/>
      <c r="R91" s="26">
        <f>50124075</f>
        <v>50124075</v>
      </c>
      <c r="S91" s="26"/>
    </row>
    <row r="92" spans="1:19" s="1" customFormat="1" ht="24" customHeight="1">
      <c r="A92" s="22" t="s">
        <v>215</v>
      </c>
      <c r="B92" s="22"/>
      <c r="C92" s="22"/>
      <c r="D92" s="22"/>
      <c r="E92" s="22"/>
      <c r="F92" s="23" t="s">
        <v>216</v>
      </c>
      <c r="G92" s="23"/>
      <c r="H92" s="23"/>
      <c r="I92" s="24">
        <f>932400</f>
        <v>932400</v>
      </c>
      <c r="J92" s="24"/>
      <c r="K92" s="25">
        <f>6063300</f>
        <v>6063300</v>
      </c>
      <c r="L92" s="25"/>
      <c r="M92" s="13" t="s">
        <v>1</v>
      </c>
      <c r="N92" s="13" t="s">
        <v>84</v>
      </c>
      <c r="O92" s="14" t="s">
        <v>84</v>
      </c>
      <c r="P92" s="24">
        <f>932400</f>
        <v>932400</v>
      </c>
      <c r="Q92" s="24"/>
      <c r="R92" s="26">
        <f>6063300</f>
        <v>6063300</v>
      </c>
      <c r="S92" s="26"/>
    </row>
    <row r="93" spans="1:19" s="1" customFormat="1" ht="13.5" customHeight="1">
      <c r="A93" s="22" t="s">
        <v>217</v>
      </c>
      <c r="B93" s="22"/>
      <c r="C93" s="22"/>
      <c r="D93" s="22"/>
      <c r="E93" s="22"/>
      <c r="F93" s="23" t="s">
        <v>218</v>
      </c>
      <c r="G93" s="23"/>
      <c r="H93" s="23"/>
      <c r="I93" s="24">
        <f>932400</f>
        <v>932400</v>
      </c>
      <c r="J93" s="24"/>
      <c r="K93" s="25">
        <f>6063300</f>
        <v>6063300</v>
      </c>
      <c r="L93" s="25"/>
      <c r="M93" s="13" t="s">
        <v>1</v>
      </c>
      <c r="N93" s="13" t="s">
        <v>84</v>
      </c>
      <c r="O93" s="14" t="s">
        <v>84</v>
      </c>
      <c r="P93" s="24">
        <f>932400</f>
        <v>932400</v>
      </c>
      <c r="Q93" s="24"/>
      <c r="R93" s="26">
        <f>6063300</f>
        <v>6063300</v>
      </c>
      <c r="S93" s="26"/>
    </row>
    <row r="94" spans="1:19" s="1" customFormat="1" ht="13.5" customHeight="1">
      <c r="A94" s="22" t="s">
        <v>219</v>
      </c>
      <c r="B94" s="22"/>
      <c r="C94" s="22"/>
      <c r="D94" s="22"/>
      <c r="E94" s="22"/>
      <c r="F94" s="23" t="s">
        <v>220</v>
      </c>
      <c r="G94" s="23"/>
      <c r="H94" s="23"/>
      <c r="I94" s="24">
        <f>932400</f>
        <v>932400</v>
      </c>
      <c r="J94" s="24"/>
      <c r="K94" s="25">
        <f>6063300</f>
        <v>6063300</v>
      </c>
      <c r="L94" s="25"/>
      <c r="M94" s="13" t="s">
        <v>1</v>
      </c>
      <c r="N94" s="13" t="s">
        <v>84</v>
      </c>
      <c r="O94" s="14" t="s">
        <v>84</v>
      </c>
      <c r="P94" s="24">
        <f>932400</f>
        <v>932400</v>
      </c>
      <c r="Q94" s="24"/>
      <c r="R94" s="26">
        <f>6063300</f>
        <v>6063300</v>
      </c>
      <c r="S94" s="26"/>
    </row>
    <row r="95" spans="1:19" s="1" customFormat="1" ht="24" customHeight="1">
      <c r="A95" s="22" t="s">
        <v>221</v>
      </c>
      <c r="B95" s="22"/>
      <c r="C95" s="22"/>
      <c r="D95" s="22"/>
      <c r="E95" s="22"/>
      <c r="F95" s="23" t="s">
        <v>222</v>
      </c>
      <c r="G95" s="23"/>
      <c r="H95" s="23"/>
      <c r="I95" s="24">
        <f>145950</f>
        <v>145950</v>
      </c>
      <c r="J95" s="24"/>
      <c r="K95" s="25">
        <f>693074.25</f>
        <v>693074.25</v>
      </c>
      <c r="L95" s="25"/>
      <c r="M95" s="12">
        <f>88028.22</f>
        <v>88028.22</v>
      </c>
      <c r="N95" s="13" t="s">
        <v>223</v>
      </c>
      <c r="O95" s="14" t="s">
        <v>224</v>
      </c>
      <c r="P95" s="24">
        <f>57921.78</f>
        <v>57921.78</v>
      </c>
      <c r="Q95" s="24"/>
      <c r="R95" s="26">
        <f>605046.03</f>
        <v>605046.03</v>
      </c>
      <c r="S95" s="26"/>
    </row>
    <row r="96" spans="1:19" s="1" customFormat="1" ht="33.75" customHeight="1">
      <c r="A96" s="22" t="s">
        <v>225</v>
      </c>
      <c r="B96" s="22"/>
      <c r="C96" s="22"/>
      <c r="D96" s="22"/>
      <c r="E96" s="22"/>
      <c r="F96" s="23" t="s">
        <v>226</v>
      </c>
      <c r="G96" s="23"/>
      <c r="H96" s="23"/>
      <c r="I96" s="27" t="s">
        <v>1</v>
      </c>
      <c r="J96" s="27"/>
      <c r="K96" s="25">
        <f>43274.25</f>
        <v>43274.25</v>
      </c>
      <c r="L96" s="25"/>
      <c r="M96" s="13" t="s">
        <v>1</v>
      </c>
      <c r="N96" s="13" t="s">
        <v>84</v>
      </c>
      <c r="O96" s="14" t="s">
        <v>84</v>
      </c>
      <c r="P96" s="27" t="s">
        <v>1</v>
      </c>
      <c r="Q96" s="27"/>
      <c r="R96" s="26">
        <f>43274.25</f>
        <v>43274.25</v>
      </c>
      <c r="S96" s="26"/>
    </row>
    <row r="97" spans="1:19" s="1" customFormat="1" ht="33.75" customHeight="1">
      <c r="A97" s="22" t="s">
        <v>227</v>
      </c>
      <c r="B97" s="22"/>
      <c r="C97" s="22"/>
      <c r="D97" s="22"/>
      <c r="E97" s="22"/>
      <c r="F97" s="23" t="s">
        <v>228</v>
      </c>
      <c r="G97" s="23"/>
      <c r="H97" s="23"/>
      <c r="I97" s="27" t="s">
        <v>1</v>
      </c>
      <c r="J97" s="27"/>
      <c r="K97" s="25">
        <f>43274.25</f>
        <v>43274.25</v>
      </c>
      <c r="L97" s="25"/>
      <c r="M97" s="13" t="s">
        <v>1</v>
      </c>
      <c r="N97" s="13" t="s">
        <v>84</v>
      </c>
      <c r="O97" s="14" t="s">
        <v>84</v>
      </c>
      <c r="P97" s="27" t="s">
        <v>1</v>
      </c>
      <c r="Q97" s="27"/>
      <c r="R97" s="26">
        <f>43274.25</f>
        <v>43274.25</v>
      </c>
      <c r="S97" s="26"/>
    </row>
    <row r="98" spans="1:19" s="1" customFormat="1" ht="45" customHeight="1">
      <c r="A98" s="22" t="s">
        <v>229</v>
      </c>
      <c r="B98" s="22"/>
      <c r="C98" s="22"/>
      <c r="D98" s="22"/>
      <c r="E98" s="22"/>
      <c r="F98" s="23" t="s">
        <v>230</v>
      </c>
      <c r="G98" s="23"/>
      <c r="H98" s="23"/>
      <c r="I98" s="24">
        <f>117050</f>
        <v>117050</v>
      </c>
      <c r="J98" s="24"/>
      <c r="K98" s="25">
        <f>493800</f>
        <v>493800</v>
      </c>
      <c r="L98" s="25"/>
      <c r="M98" s="12">
        <f>69800.22</f>
        <v>69800.22</v>
      </c>
      <c r="N98" s="13" t="s">
        <v>231</v>
      </c>
      <c r="O98" s="14" t="s">
        <v>232</v>
      </c>
      <c r="P98" s="24">
        <f>47249.78</f>
        <v>47249.78</v>
      </c>
      <c r="Q98" s="24"/>
      <c r="R98" s="26">
        <f>423999.78</f>
        <v>423999.78</v>
      </c>
      <c r="S98" s="26"/>
    </row>
    <row r="99" spans="1:19" s="1" customFormat="1" ht="45" customHeight="1">
      <c r="A99" s="22" t="s">
        <v>233</v>
      </c>
      <c r="B99" s="22"/>
      <c r="C99" s="22"/>
      <c r="D99" s="22"/>
      <c r="E99" s="22"/>
      <c r="F99" s="23" t="s">
        <v>234</v>
      </c>
      <c r="G99" s="23"/>
      <c r="H99" s="23"/>
      <c r="I99" s="24">
        <f>117050</f>
        <v>117050</v>
      </c>
      <c r="J99" s="24"/>
      <c r="K99" s="25">
        <f>493800</f>
        <v>493800</v>
      </c>
      <c r="L99" s="25"/>
      <c r="M99" s="12">
        <f>69800.22</f>
        <v>69800.22</v>
      </c>
      <c r="N99" s="13" t="s">
        <v>231</v>
      </c>
      <c r="O99" s="14" t="s">
        <v>232</v>
      </c>
      <c r="P99" s="24">
        <f>47249.78</f>
        <v>47249.78</v>
      </c>
      <c r="Q99" s="24"/>
      <c r="R99" s="26">
        <f>423999.78</f>
        <v>423999.78</v>
      </c>
      <c r="S99" s="26"/>
    </row>
    <row r="100" spans="1:19" s="1" customFormat="1" ht="24" customHeight="1">
      <c r="A100" s="22" t="s">
        <v>235</v>
      </c>
      <c r="B100" s="22"/>
      <c r="C100" s="22"/>
      <c r="D100" s="22"/>
      <c r="E100" s="22"/>
      <c r="F100" s="23" t="s">
        <v>236</v>
      </c>
      <c r="G100" s="23"/>
      <c r="H100" s="23"/>
      <c r="I100" s="24">
        <f>28900</f>
        <v>28900</v>
      </c>
      <c r="J100" s="24"/>
      <c r="K100" s="25">
        <f>156000</f>
        <v>156000</v>
      </c>
      <c r="L100" s="25"/>
      <c r="M100" s="12">
        <f>18228</f>
        <v>18228</v>
      </c>
      <c r="N100" s="13" t="s">
        <v>237</v>
      </c>
      <c r="O100" s="14" t="s">
        <v>238</v>
      </c>
      <c r="P100" s="24">
        <f>10672</f>
        <v>10672</v>
      </c>
      <c r="Q100" s="24"/>
      <c r="R100" s="26">
        <f>137772</f>
        <v>137772</v>
      </c>
      <c r="S100" s="26"/>
    </row>
    <row r="101" spans="1:19" s="1" customFormat="1" ht="33.75" customHeight="1">
      <c r="A101" s="22" t="s">
        <v>239</v>
      </c>
      <c r="B101" s="22"/>
      <c r="C101" s="22"/>
      <c r="D101" s="22"/>
      <c r="E101" s="22"/>
      <c r="F101" s="23" t="s">
        <v>240</v>
      </c>
      <c r="G101" s="23"/>
      <c r="H101" s="23"/>
      <c r="I101" s="24">
        <f>28900</f>
        <v>28900</v>
      </c>
      <c r="J101" s="24"/>
      <c r="K101" s="25">
        <f>156000</f>
        <v>156000</v>
      </c>
      <c r="L101" s="25"/>
      <c r="M101" s="12">
        <f>18228</f>
        <v>18228</v>
      </c>
      <c r="N101" s="13" t="s">
        <v>237</v>
      </c>
      <c r="O101" s="14" t="s">
        <v>238</v>
      </c>
      <c r="P101" s="24">
        <f>10672</f>
        <v>10672</v>
      </c>
      <c r="Q101" s="24"/>
      <c r="R101" s="26">
        <f>137772</f>
        <v>137772</v>
      </c>
      <c r="S101" s="26"/>
    </row>
    <row r="102" spans="1:19" s="1" customFormat="1" ht="13.5" customHeight="1">
      <c r="A102" s="22" t="s">
        <v>241</v>
      </c>
      <c r="B102" s="22"/>
      <c r="C102" s="22"/>
      <c r="D102" s="22"/>
      <c r="E102" s="22"/>
      <c r="F102" s="23" t="s">
        <v>242</v>
      </c>
      <c r="G102" s="23"/>
      <c r="H102" s="23"/>
      <c r="I102" s="24">
        <f>2319202</f>
        <v>2319202</v>
      </c>
      <c r="J102" s="24"/>
      <c r="K102" s="25">
        <f>12226808</f>
        <v>12226808</v>
      </c>
      <c r="L102" s="25"/>
      <c r="M102" s="12">
        <f>648252</f>
        <v>648252</v>
      </c>
      <c r="N102" s="13" t="s">
        <v>243</v>
      </c>
      <c r="O102" s="14" t="s">
        <v>244</v>
      </c>
      <c r="P102" s="24">
        <f>1670950</f>
        <v>1670950</v>
      </c>
      <c r="Q102" s="24"/>
      <c r="R102" s="26">
        <f>11578556</f>
        <v>11578556</v>
      </c>
      <c r="S102" s="26"/>
    </row>
    <row r="103" spans="1:19" s="1" customFormat="1" ht="54.75" customHeight="1">
      <c r="A103" s="22" t="s">
        <v>245</v>
      </c>
      <c r="B103" s="22"/>
      <c r="C103" s="22"/>
      <c r="D103" s="22"/>
      <c r="E103" s="22"/>
      <c r="F103" s="23" t="s">
        <v>246</v>
      </c>
      <c r="G103" s="23"/>
      <c r="H103" s="23"/>
      <c r="I103" s="24">
        <f>227052</f>
        <v>227052</v>
      </c>
      <c r="J103" s="24"/>
      <c r="K103" s="25">
        <f>908208</f>
        <v>908208</v>
      </c>
      <c r="L103" s="25"/>
      <c r="M103" s="12">
        <f>227052</f>
        <v>227052</v>
      </c>
      <c r="N103" s="13" t="s">
        <v>197</v>
      </c>
      <c r="O103" s="14" t="s">
        <v>210</v>
      </c>
      <c r="P103" s="27" t="s">
        <v>1</v>
      </c>
      <c r="Q103" s="27"/>
      <c r="R103" s="26">
        <f>681156</f>
        <v>681156</v>
      </c>
      <c r="S103" s="26"/>
    </row>
    <row r="104" spans="1:19" s="1" customFormat="1" ht="66" customHeight="1">
      <c r="A104" s="22" t="s">
        <v>247</v>
      </c>
      <c r="B104" s="22"/>
      <c r="C104" s="22"/>
      <c r="D104" s="22"/>
      <c r="E104" s="22"/>
      <c r="F104" s="23" t="s">
        <v>248</v>
      </c>
      <c r="G104" s="23"/>
      <c r="H104" s="23"/>
      <c r="I104" s="24">
        <f>227052</f>
        <v>227052</v>
      </c>
      <c r="J104" s="24"/>
      <c r="K104" s="25">
        <f>908208</f>
        <v>908208</v>
      </c>
      <c r="L104" s="25"/>
      <c r="M104" s="12">
        <f>227052</f>
        <v>227052</v>
      </c>
      <c r="N104" s="13" t="s">
        <v>197</v>
      </c>
      <c r="O104" s="14" t="s">
        <v>210</v>
      </c>
      <c r="P104" s="27" t="s">
        <v>1</v>
      </c>
      <c r="Q104" s="27"/>
      <c r="R104" s="26">
        <f>681156</f>
        <v>681156</v>
      </c>
      <c r="S104" s="26"/>
    </row>
    <row r="105" spans="1:19" s="1" customFormat="1" ht="24" customHeight="1">
      <c r="A105" s="22" t="s">
        <v>249</v>
      </c>
      <c r="B105" s="22"/>
      <c r="C105" s="22"/>
      <c r="D105" s="22"/>
      <c r="E105" s="22"/>
      <c r="F105" s="23" t="s">
        <v>250</v>
      </c>
      <c r="G105" s="23"/>
      <c r="H105" s="23"/>
      <c r="I105" s="24">
        <f>2092150</f>
        <v>2092150</v>
      </c>
      <c r="J105" s="24"/>
      <c r="K105" s="25">
        <f>11318600</f>
        <v>11318600</v>
      </c>
      <c r="L105" s="25"/>
      <c r="M105" s="12">
        <f>421200</f>
        <v>421200</v>
      </c>
      <c r="N105" s="13" t="s">
        <v>251</v>
      </c>
      <c r="O105" s="14" t="s">
        <v>252</v>
      </c>
      <c r="P105" s="24">
        <f>1670950</f>
        <v>1670950</v>
      </c>
      <c r="Q105" s="24"/>
      <c r="R105" s="26">
        <f>10897400</f>
        <v>10897400</v>
      </c>
      <c r="S105" s="26"/>
    </row>
    <row r="106" spans="1:19" s="1" customFormat="1" ht="24" customHeight="1">
      <c r="A106" s="22" t="s">
        <v>253</v>
      </c>
      <c r="B106" s="22"/>
      <c r="C106" s="22"/>
      <c r="D106" s="22"/>
      <c r="E106" s="22"/>
      <c r="F106" s="23" t="s">
        <v>254</v>
      </c>
      <c r="G106" s="23"/>
      <c r="H106" s="23"/>
      <c r="I106" s="24">
        <f>2092150</f>
        <v>2092150</v>
      </c>
      <c r="J106" s="24"/>
      <c r="K106" s="25">
        <f>11318600</f>
        <v>11318600</v>
      </c>
      <c r="L106" s="25"/>
      <c r="M106" s="12">
        <f>421200</f>
        <v>421200</v>
      </c>
      <c r="N106" s="13" t="s">
        <v>251</v>
      </c>
      <c r="O106" s="14" t="s">
        <v>252</v>
      </c>
      <c r="P106" s="24">
        <f>1670950</f>
        <v>1670950</v>
      </c>
      <c r="Q106" s="24"/>
      <c r="R106" s="26">
        <f>10897400</f>
        <v>10897400</v>
      </c>
      <c r="S106" s="26"/>
    </row>
    <row r="107" spans="1:19" s="1" customFormat="1" ht="15" customHeight="1">
      <c r="A107" s="18" t="s">
        <v>255</v>
      </c>
      <c r="B107" s="18"/>
      <c r="C107" s="18"/>
      <c r="D107" s="18"/>
      <c r="E107" s="18"/>
      <c r="F107" s="18"/>
      <c r="G107" s="18"/>
      <c r="H107" s="18"/>
      <c r="I107" s="19">
        <f>30727321.08</f>
        <v>30727321.08</v>
      </c>
      <c r="J107" s="19"/>
      <c r="K107" s="20">
        <f>127320862.87</f>
        <v>127320862.87</v>
      </c>
      <c r="L107" s="20"/>
      <c r="M107" s="15">
        <f>23754226.05</f>
        <v>23754226.05</v>
      </c>
      <c r="N107" s="15">
        <f>77.31</f>
        <v>77.31</v>
      </c>
      <c r="O107" s="16">
        <f>18.66</f>
        <v>18.66</v>
      </c>
      <c r="P107" s="19">
        <f>6973095.03</f>
        <v>6973095.03</v>
      </c>
      <c r="Q107" s="19"/>
      <c r="R107" s="21">
        <f>103566636.82</f>
        <v>103566636.82</v>
      </c>
      <c r="S107" s="21"/>
    </row>
    <row r="108" spans="1:19" s="1" customFormat="1" ht="16.5" customHeight="1">
      <c r="A108" s="17" t="s">
        <v>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</sheetData>
  <sheetProtection/>
  <mergeCells count="59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H107"/>
    <mergeCell ref="I107:J107"/>
    <mergeCell ref="K107:L107"/>
    <mergeCell ref="P107:Q107"/>
    <mergeCell ref="R107:S107"/>
    <mergeCell ref="A108:S108"/>
  </mergeCells>
  <printOptions/>
  <pageMargins left="0.3937007874015748" right="0" top="0.5905511811023622" bottom="0" header="0.5" footer="0.5"/>
  <pageSetup fitToHeight="0" fitToWidth="1" horizontalDpi="600" verticalDpi="600" orientation="landscape" paperSize="9" scale="9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2022-03-01T11:14:16Z</cp:lastPrinted>
  <dcterms:created xsi:type="dcterms:W3CDTF">2022-03-01T11:12:00Z</dcterms:created>
  <dcterms:modified xsi:type="dcterms:W3CDTF">2022-03-01T11:14:50Z</dcterms:modified>
  <cp:category/>
  <cp:version/>
  <cp:contentType/>
  <cp:contentStatus/>
</cp:coreProperties>
</file>